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xr:revisionPtr revIDLastSave="0" documentId="13_ncr:1_{4FB44909-E197-4B4F-856A-333B0BB2B8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13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9" i="1" l="1"/>
  <c r="I78" i="1"/>
  <c r="I77" i="1"/>
  <c r="I75" i="1"/>
  <c r="J137" i="1"/>
  <c r="J133" i="1"/>
  <c r="J130" i="1"/>
  <c r="J128" i="1"/>
  <c r="J131" i="1" s="1"/>
  <c r="J127" i="1"/>
  <c r="J129" i="1"/>
  <c r="J120" i="1"/>
  <c r="J117" i="1"/>
  <c r="J122" i="1" s="1"/>
  <c r="J116" i="1"/>
  <c r="J112" i="1"/>
  <c r="J111" i="1"/>
  <c r="J110" i="1"/>
  <c r="J100" i="1"/>
  <c r="J105" i="1"/>
  <c r="J104" i="1"/>
  <c r="J102" i="1"/>
  <c r="J101" i="1"/>
  <c r="J99" i="1"/>
  <c r="J98" i="1"/>
  <c r="J97" i="1"/>
  <c r="J83" i="1"/>
  <c r="J80" i="1"/>
  <c r="J82" i="1"/>
  <c r="J75" i="1"/>
  <c r="J65" i="1"/>
  <c r="J64" i="1"/>
  <c r="J63" i="1"/>
  <c r="J62" i="1"/>
  <c r="J61" i="1"/>
  <c r="J60" i="1"/>
  <c r="J66" i="1" s="1"/>
  <c r="J56" i="1"/>
  <c r="J55" i="1"/>
  <c r="J58" i="1" s="1"/>
  <c r="J54" i="1"/>
  <c r="J51" i="1"/>
  <c r="J50" i="1"/>
  <c r="J49" i="1"/>
  <c r="J48" i="1"/>
  <c r="J47" i="1"/>
  <c r="J52" i="1" s="1"/>
  <c r="J68" i="1" s="1"/>
  <c r="J42" i="1"/>
  <c r="J41" i="1"/>
  <c r="J40" i="1"/>
  <c r="J36" i="1"/>
  <c r="J38" i="1"/>
  <c r="J37" i="1"/>
  <c r="J35" i="1"/>
  <c r="J43" i="1" s="1"/>
  <c r="I30" i="1"/>
  <c r="J30" i="1"/>
  <c r="J28" i="1"/>
  <c r="I28" i="1"/>
  <c r="J26" i="1"/>
  <c r="I25" i="1"/>
  <c r="J25" i="1"/>
  <c r="J24" i="1"/>
  <c r="J17" i="1"/>
  <c r="J15" i="1"/>
  <c r="J14" i="1"/>
  <c r="J13" i="1"/>
  <c r="J12" i="1"/>
  <c r="J10" i="1"/>
  <c r="J9" i="1"/>
  <c r="J11" i="1"/>
  <c r="J16" i="1" s="1"/>
  <c r="D131" i="1"/>
  <c r="C131" i="1"/>
  <c r="B131" i="1"/>
  <c r="I130" i="1"/>
  <c r="I129" i="1"/>
  <c r="I128" i="1"/>
  <c r="H128" i="1"/>
  <c r="I127" i="1"/>
  <c r="I131" i="1" s="1"/>
  <c r="H127" i="1"/>
  <c r="G127" i="1"/>
  <c r="G131" i="1" s="1"/>
  <c r="F127" i="1"/>
  <c r="F131" i="1" s="1"/>
  <c r="E127" i="1"/>
  <c r="E131" i="1" s="1"/>
  <c r="H122" i="1"/>
  <c r="G122" i="1"/>
  <c r="F122" i="1"/>
  <c r="D122" i="1"/>
  <c r="C122" i="1"/>
  <c r="B122" i="1"/>
  <c r="E120" i="1"/>
  <c r="E122" i="1" s="1"/>
  <c r="I117" i="1"/>
  <c r="I116" i="1"/>
  <c r="I122" i="1" s="1"/>
  <c r="I112" i="1"/>
  <c r="G112" i="1"/>
  <c r="I111" i="1"/>
  <c r="I110" i="1"/>
  <c r="I105" i="1"/>
  <c r="I104" i="1"/>
  <c r="H104" i="1"/>
  <c r="G104" i="1"/>
  <c r="I102" i="1"/>
  <c r="H102" i="1"/>
  <c r="G102" i="1"/>
  <c r="I101" i="1"/>
  <c r="I100" i="1"/>
  <c r="I99" i="1"/>
  <c r="I98" i="1"/>
  <c r="I97" i="1"/>
  <c r="C95" i="1"/>
  <c r="C109" i="1" s="1"/>
  <c r="C113" i="1" s="1"/>
  <c r="B95" i="1"/>
  <c r="B109" i="1" s="1"/>
  <c r="B113" i="1" s="1"/>
  <c r="I85" i="1"/>
  <c r="I84" i="1"/>
  <c r="I83" i="1"/>
  <c r="H83" i="1"/>
  <c r="G83" i="1"/>
  <c r="F83" i="1"/>
  <c r="E83" i="1"/>
  <c r="I82" i="1"/>
  <c r="H82" i="1"/>
  <c r="G82" i="1"/>
  <c r="F82" i="1"/>
  <c r="E82" i="1"/>
  <c r="D82" i="1"/>
  <c r="H81" i="1"/>
  <c r="H95" i="1" s="1"/>
  <c r="H109" i="1" s="1"/>
  <c r="H113" i="1" s="1"/>
  <c r="F81" i="1"/>
  <c r="I80" i="1"/>
  <c r="H80" i="1"/>
  <c r="G80" i="1"/>
  <c r="F80" i="1"/>
  <c r="E80" i="1"/>
  <c r="G79" i="1"/>
  <c r="F79" i="1"/>
  <c r="D79" i="1"/>
  <c r="H66" i="1"/>
  <c r="G66" i="1"/>
  <c r="F66" i="1"/>
  <c r="E66" i="1"/>
  <c r="D66" i="1"/>
  <c r="C66" i="1"/>
  <c r="B66" i="1"/>
  <c r="I65" i="1"/>
  <c r="I64" i="1"/>
  <c r="I63" i="1"/>
  <c r="I62" i="1"/>
  <c r="I61" i="1"/>
  <c r="I60" i="1"/>
  <c r="F58" i="1"/>
  <c r="E58" i="1"/>
  <c r="D58" i="1"/>
  <c r="C58" i="1"/>
  <c r="B58" i="1"/>
  <c r="I57" i="1"/>
  <c r="H57" i="1"/>
  <c r="I56" i="1"/>
  <c r="I55" i="1"/>
  <c r="H54" i="1"/>
  <c r="G54" i="1"/>
  <c r="G58" i="1" s="1"/>
  <c r="G52" i="1"/>
  <c r="F52" i="1"/>
  <c r="E52" i="1"/>
  <c r="D52" i="1"/>
  <c r="C52" i="1"/>
  <c r="C68" i="1" s="1"/>
  <c r="B52" i="1"/>
  <c r="I51" i="1"/>
  <c r="I50" i="1"/>
  <c r="I49" i="1"/>
  <c r="I48" i="1"/>
  <c r="H48" i="1"/>
  <c r="H52" i="1" s="1"/>
  <c r="I47" i="1"/>
  <c r="G43" i="1"/>
  <c r="F43" i="1"/>
  <c r="E43" i="1"/>
  <c r="D43" i="1"/>
  <c r="C43" i="1"/>
  <c r="B43" i="1"/>
  <c r="I42" i="1"/>
  <c r="H42" i="1"/>
  <c r="H43" i="1" s="1"/>
  <c r="I41" i="1"/>
  <c r="I40" i="1"/>
  <c r="I38" i="1"/>
  <c r="I37" i="1"/>
  <c r="I36" i="1"/>
  <c r="I35" i="1"/>
  <c r="H32" i="1"/>
  <c r="G32" i="1"/>
  <c r="F32" i="1"/>
  <c r="F45" i="1" s="1"/>
  <c r="E32" i="1"/>
  <c r="D32" i="1"/>
  <c r="D45" i="1" s="1"/>
  <c r="C32" i="1"/>
  <c r="B32" i="1"/>
  <c r="I29" i="1"/>
  <c r="I26" i="1"/>
  <c r="I24" i="1"/>
  <c r="I17" i="1"/>
  <c r="I15" i="1"/>
  <c r="I14" i="1"/>
  <c r="I13" i="1"/>
  <c r="I12" i="1"/>
  <c r="H11" i="1"/>
  <c r="H16" i="1" s="1"/>
  <c r="H18" i="1" s="1"/>
  <c r="G11" i="1"/>
  <c r="G16" i="1" s="1"/>
  <c r="G18" i="1" s="1"/>
  <c r="F11" i="1"/>
  <c r="F16" i="1" s="1"/>
  <c r="F18" i="1" s="1"/>
  <c r="E11" i="1"/>
  <c r="E16" i="1" s="1"/>
  <c r="E18" i="1" s="1"/>
  <c r="D11" i="1"/>
  <c r="D16" i="1" s="1"/>
  <c r="D18" i="1" s="1"/>
  <c r="C11" i="1"/>
  <c r="C16" i="1" s="1"/>
  <c r="C18" i="1" s="1"/>
  <c r="B11" i="1"/>
  <c r="B16" i="1" s="1"/>
  <c r="B18" i="1" s="1"/>
  <c r="I10" i="1"/>
  <c r="I9" i="1"/>
  <c r="I11" i="1" s="1"/>
  <c r="I95" i="1" l="1"/>
  <c r="I109" i="1" s="1"/>
  <c r="I113" i="1" s="1"/>
  <c r="E45" i="1"/>
  <c r="I52" i="1"/>
  <c r="D68" i="1"/>
  <c r="H58" i="1"/>
  <c r="E95" i="1"/>
  <c r="E109" i="1" s="1"/>
  <c r="E113" i="1" s="1"/>
  <c r="E133" i="1" s="1"/>
  <c r="H68" i="1"/>
  <c r="E68" i="1"/>
  <c r="I66" i="1"/>
  <c r="I16" i="1"/>
  <c r="I18" i="1" s="1"/>
  <c r="H131" i="1"/>
  <c r="J95" i="1"/>
  <c r="J109" i="1" s="1"/>
  <c r="J113" i="1" s="1"/>
  <c r="J18" i="1"/>
  <c r="J32" i="1"/>
  <c r="J45" i="1" s="1"/>
  <c r="G95" i="1"/>
  <c r="G109" i="1" s="1"/>
  <c r="G113" i="1" s="1"/>
  <c r="G45" i="1"/>
  <c r="H45" i="1"/>
  <c r="I43" i="1"/>
  <c r="G68" i="1"/>
  <c r="C45" i="1"/>
  <c r="F95" i="1"/>
  <c r="F109" i="1" s="1"/>
  <c r="F113" i="1" s="1"/>
  <c r="F133" i="1" s="1"/>
  <c r="I32" i="1"/>
  <c r="I58" i="1"/>
  <c r="F68" i="1"/>
  <c r="B45" i="1"/>
  <c r="B68" i="1"/>
  <c r="D95" i="1"/>
  <c r="D109" i="1" s="1"/>
  <c r="D113" i="1" s="1"/>
  <c r="D137" i="1" s="1"/>
  <c r="H137" i="1"/>
  <c r="H133" i="1"/>
  <c r="E137" i="1"/>
  <c r="B137" i="1"/>
  <c r="B133" i="1"/>
  <c r="B135" i="1" s="1"/>
  <c r="C137" i="1"/>
  <c r="C133" i="1"/>
  <c r="C135" i="1" s="1"/>
  <c r="D134" i="1" s="1"/>
  <c r="G137" i="1"/>
  <c r="G133" i="1"/>
  <c r="F137" i="1"/>
  <c r="I133" i="1" l="1"/>
  <c r="I137" i="1"/>
  <c r="D133" i="1"/>
  <c r="D135" i="1" s="1"/>
  <c r="E134" i="1" s="1"/>
  <c r="E135" i="1" s="1"/>
  <c r="F134" i="1" s="1"/>
  <c r="F135" i="1" s="1"/>
  <c r="G134" i="1" s="1"/>
  <c r="G135" i="1" s="1"/>
  <c r="H134" i="1" s="1"/>
  <c r="H135" i="1" s="1"/>
  <c r="I134" i="1" s="1"/>
  <c r="I68" i="1"/>
  <c r="I45" i="1"/>
  <c r="I135" i="1" l="1"/>
  <c r="J134" i="1" s="1"/>
  <c r="J135" i="1" s="1"/>
</calcChain>
</file>

<file path=xl/sharedStrings.xml><?xml version="1.0" encoding="utf-8"?>
<sst xmlns="http://schemas.openxmlformats.org/spreadsheetml/2006/main" count="119" uniqueCount="111">
  <si>
    <t>CENTURY PACIFIC FOOD INC</t>
  </si>
  <si>
    <t>Consolidated Financial Statements</t>
  </si>
  <si>
    <t>PHP millions</t>
  </si>
  <si>
    <t>PROFIT AND LOSS STATEMENT</t>
  </si>
  <si>
    <t>Net revenues</t>
  </si>
  <si>
    <t>Cost of goods sold</t>
  </si>
  <si>
    <t>Gross profit</t>
  </si>
  <si>
    <t>Other income</t>
  </si>
  <si>
    <t>Operating expenses</t>
  </si>
  <si>
    <t>Other expenses</t>
  </si>
  <si>
    <t>Finance costs</t>
  </si>
  <si>
    <t>Income before income tax</t>
  </si>
  <si>
    <t>Income tax benefit/ (expense)</t>
  </si>
  <si>
    <t>Net income</t>
  </si>
  <si>
    <t>Note: 2013 statement of income is based on proforma financial statements, while IFRS 15 is only applied beginning 2016.</t>
  </si>
  <si>
    <t>BALANCE SHEET</t>
  </si>
  <si>
    <t>Cash and cash equivalents</t>
  </si>
  <si>
    <t>Trade and other receivables - net</t>
  </si>
  <si>
    <t>Due from related parties</t>
  </si>
  <si>
    <t>Held-to-maturity investments - current</t>
  </si>
  <si>
    <t>Inventories - net</t>
  </si>
  <si>
    <t>Biological assets</t>
  </si>
  <si>
    <t>Prepayments and other current assets - net</t>
  </si>
  <si>
    <t>Prepaid income tax</t>
  </si>
  <si>
    <t>Total current assets</t>
  </si>
  <si>
    <t>Held-to-maturity investments - noncurrent</t>
  </si>
  <si>
    <t>Property, plant and equipment - net</t>
  </si>
  <si>
    <t>Trademarks</t>
  </si>
  <si>
    <t>Goodwill</t>
  </si>
  <si>
    <t>Licensing agreement</t>
  </si>
  <si>
    <t>Retirement benefit asset</t>
  </si>
  <si>
    <t>Deferred tax asset</t>
  </si>
  <si>
    <t>Right-of-use assets - net</t>
  </si>
  <si>
    <t>Other noncurrent assets</t>
  </si>
  <si>
    <t>Total noncurrent assets</t>
  </si>
  <si>
    <t>TOTAL ASSETS</t>
  </si>
  <si>
    <t>Loans payable and other current interest-bearing liabilities</t>
  </si>
  <si>
    <t>Trade and other payables</t>
  </si>
  <si>
    <t>Income tax payable</t>
  </si>
  <si>
    <t>Due to related parties</t>
  </si>
  <si>
    <t>Lease liabilities - current portion</t>
  </si>
  <si>
    <t>Total current liabilities</t>
  </si>
  <si>
    <t>Long-term debt</t>
  </si>
  <si>
    <t>Retirement benefit obligation</t>
  </si>
  <si>
    <t>Lease liabilities - net of current portion</t>
  </si>
  <si>
    <t>Deferred tax liability</t>
  </si>
  <si>
    <t>Total noncurrent liabilities</t>
  </si>
  <si>
    <t>Share capital</t>
  </si>
  <si>
    <t>Share premium</t>
  </si>
  <si>
    <t>Share-based compensation reserve</t>
  </si>
  <si>
    <t>Other reserves</t>
  </si>
  <si>
    <t>Currency translation adjustment</t>
  </si>
  <si>
    <t>Retained earnings (deficit)</t>
  </si>
  <si>
    <t>Total equity</t>
  </si>
  <si>
    <t>TOTAL LIABILITIES AND SHAREHOLDERS' EQUITY</t>
  </si>
  <si>
    <t>Note: 2013 balance sheet is based on proforma financial statements.</t>
  </si>
  <si>
    <t>STATEMENT OF CASH FLOWS</t>
  </si>
  <si>
    <t>Cash flows from operating activities</t>
  </si>
  <si>
    <t>Adjustments for:</t>
  </si>
  <si>
    <t>Depreciation</t>
  </si>
  <si>
    <t>Doubtful accounts expense/ provisions</t>
  </si>
  <si>
    <t>Reversal of impairment/writeoff of accruals</t>
  </si>
  <si>
    <t>Reversal of allowance for doubtful accounts</t>
  </si>
  <si>
    <t>Loss on inventory obsolescence</t>
  </si>
  <si>
    <t>Loss (gain) on disposal of PPE and sale of scrap</t>
  </si>
  <si>
    <t>Retirement benefit expense</t>
  </si>
  <si>
    <t>Impairment loss on trade and other receivables/ VAT</t>
  </si>
  <si>
    <t>Loss on impairment of PPE</t>
  </si>
  <si>
    <t>Loss on impairment of trademark</t>
  </si>
  <si>
    <t>Loss on transfer of retirement benefit obligation</t>
  </si>
  <si>
    <t>Loss on impairment of goodwill</t>
  </si>
  <si>
    <t>Share-based compensation expense</t>
  </si>
  <si>
    <t>Unrealized forex gain</t>
  </si>
  <si>
    <t>Amortization of premiums from HTM investments</t>
  </si>
  <si>
    <t>Interest income</t>
  </si>
  <si>
    <t>Operating cash flows before WC changes</t>
  </si>
  <si>
    <t>Decrease (increase) in:</t>
  </si>
  <si>
    <t>Trade and other receivables</t>
  </si>
  <si>
    <t>Inventories</t>
  </si>
  <si>
    <t>Increase (decrease) in:</t>
  </si>
  <si>
    <t>Financial lease obligation</t>
  </si>
  <si>
    <t>Other noncurrent liabilities</t>
  </si>
  <si>
    <t>Exchange differences on translating operating A&amp;L</t>
  </si>
  <si>
    <t>Cash generated from operations</t>
  </si>
  <si>
    <t>Contribution to retirement fund</t>
  </si>
  <si>
    <t>Income tax paid</t>
  </si>
  <si>
    <t>Interest received</t>
  </si>
  <si>
    <t>Net cash from (used in) operating activities</t>
  </si>
  <si>
    <t>Cash flows from investing activities</t>
  </si>
  <si>
    <t>Acquisition of PPE</t>
  </si>
  <si>
    <t>Proceeds from sale of PPE</t>
  </si>
  <si>
    <t>Acquisition of HTM investments/trademark</t>
  </si>
  <si>
    <t>Acquisition of intangible assets</t>
  </si>
  <si>
    <t>Acquisition of subdidiaries (net of cash acquired)</t>
  </si>
  <si>
    <t xml:space="preserve">                    -  </t>
  </si>
  <si>
    <t>Interest income received</t>
  </si>
  <si>
    <t>Net cash used in investing activities</t>
  </si>
  <si>
    <t>Cash flows from financing activities</t>
  </si>
  <si>
    <t>Proceeds from issuance of share capital</t>
  </si>
  <si>
    <t>Net receipts from related parties</t>
  </si>
  <si>
    <t>Net proceeds from (repayments of) loans</t>
  </si>
  <si>
    <t>Finance costs paid</t>
  </si>
  <si>
    <t>Dividends paid</t>
  </si>
  <si>
    <t>Payment of lease liabilities</t>
  </si>
  <si>
    <t>Net cash from (used in) financing activities</t>
  </si>
  <si>
    <t>Net increase (decrease) in cash and cash equivalents</t>
  </si>
  <si>
    <t>Cash, beginning</t>
  </si>
  <si>
    <t>Cash, ending</t>
  </si>
  <si>
    <t>Free Cash Flow</t>
  </si>
  <si>
    <t>Note: 2013 statement of cash flows is based on proforma financial statements.</t>
  </si>
  <si>
    <t>Gain on bargain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</si>
</sst>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#,##0.0000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rgb="FF333333"/>
      <name val="Open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EC0BE"/>
        <bgColor rgb="FFFFC000"/>
      </patternFill>
    </fill>
    <fill>
      <patternFill patternType="solid">
        <fgColor rgb="FF6EC0BE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165" fontId="1" fillId="0" borderId="0" xfId="0" applyNumberFormat="1" applyFont="1" applyAlignment="1">
      <alignment horizontal="right"/>
    </xf>
    <xf numFmtId="0" fontId="5" fillId="0" borderId="0" xfId="0" applyFo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2" fillId="0" borderId="0" xfId="0" applyNumberFormat="1" applyFont="1" applyAlignment="1"/>
    <xf numFmtId="164" fontId="2" fillId="0" borderId="0" xfId="0" applyNumberFormat="1" applyFont="1"/>
    <xf numFmtId="3" fontId="6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" fillId="0" borderId="0" xfId="0" applyNumberFormat="1" applyFont="1"/>
    <xf numFmtId="167" fontId="1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3" borderId="0" xfId="0" applyFont="1" applyFill="1"/>
    <xf numFmtId="3" fontId="1" fillId="0" borderId="0" xfId="0" applyNumberFormat="1" applyFont="1"/>
    <xf numFmtId="0" fontId="1" fillId="2" borderId="1" xfId="0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C0BE"/>
      <color rgb="FF47B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27" sqref="H127"/>
    </sheetView>
  </sheetViews>
  <sheetFormatPr defaultColWidth="12.58203125" defaultRowHeight="15" customHeight="1" x14ac:dyDescent="0.35"/>
  <cols>
    <col min="1" max="1" width="38.58203125" customWidth="1"/>
    <col min="2" max="2" width="7.5" bestFit="1" customWidth="1"/>
    <col min="3" max="3" width="8.5" customWidth="1"/>
    <col min="4" max="6" width="8" customWidth="1"/>
    <col min="7" max="7" width="8.83203125" customWidth="1"/>
    <col min="8" max="8" width="9.33203125" customWidth="1"/>
    <col min="9" max="9" width="10.25" style="24" bestFit="1" customWidth="1"/>
    <col min="10" max="10" width="8" style="24" customWidth="1"/>
    <col min="11" max="11" width="13.58203125" customWidth="1"/>
    <col min="12" max="26" width="8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1"/>
      <c r="B6" s="3">
        <v>2013</v>
      </c>
      <c r="C6" s="3">
        <v>2014</v>
      </c>
      <c r="D6" s="3">
        <v>2015</v>
      </c>
      <c r="E6" s="3">
        <v>2016</v>
      </c>
      <c r="F6" s="3">
        <v>2017</v>
      </c>
      <c r="G6" s="3">
        <v>2018</v>
      </c>
      <c r="H6" s="3">
        <v>2019</v>
      </c>
      <c r="I6" s="3">
        <v>2020</v>
      </c>
      <c r="J6" s="3">
        <v>2021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31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3"/>
      <c r="C8" s="3"/>
      <c r="D8" s="3"/>
      <c r="E8" s="3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1" t="s">
        <v>4</v>
      </c>
      <c r="B9" s="6">
        <v>19023.053067000001</v>
      </c>
      <c r="C9" s="6">
        <v>20438.555007999999</v>
      </c>
      <c r="D9" s="6">
        <v>23324.528579000002</v>
      </c>
      <c r="E9" s="6">
        <v>26796</v>
      </c>
      <c r="F9" s="7">
        <v>32907</v>
      </c>
      <c r="G9" s="6">
        <v>37885</v>
      </c>
      <c r="H9" s="6">
        <v>40560</v>
      </c>
      <c r="I9" s="22">
        <f>48301741084/1000000</f>
        <v>48301.741084000001</v>
      </c>
      <c r="J9" s="22">
        <f>54710155254/1000000</f>
        <v>54710.155253999998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1" t="s">
        <v>5</v>
      </c>
      <c r="B10" s="6">
        <v>-15696.776711</v>
      </c>
      <c r="C10" s="6">
        <v>-15063.993046</v>
      </c>
      <c r="D10" s="6">
        <v>-17128.162071999999</v>
      </c>
      <c r="E10" s="6">
        <v>-19677.984326000002</v>
      </c>
      <c r="F10" s="6">
        <v>-25973</v>
      </c>
      <c r="G10" s="6">
        <v>-29738</v>
      </c>
      <c r="H10" s="6">
        <v>-30836</v>
      </c>
      <c r="I10" s="22">
        <f>-36374034421/1000000</f>
        <v>-36374.034420999997</v>
      </c>
      <c r="J10" s="22">
        <f>-41958358259/1000000</f>
        <v>-41958.358259000001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2" t="s">
        <v>6</v>
      </c>
      <c r="B11" s="8">
        <f t="shared" ref="B11:I11" si="0">SUM(B9:B10)</f>
        <v>3326.2763560000003</v>
      </c>
      <c r="C11" s="8">
        <f t="shared" si="0"/>
        <v>5374.5619619999998</v>
      </c>
      <c r="D11" s="8">
        <f t="shared" si="0"/>
        <v>6196.3665070000025</v>
      </c>
      <c r="E11" s="8">
        <f t="shared" si="0"/>
        <v>7118.0156739999984</v>
      </c>
      <c r="F11" s="8">
        <f t="shared" si="0"/>
        <v>6934</v>
      </c>
      <c r="G11" s="8">
        <f t="shared" si="0"/>
        <v>8147</v>
      </c>
      <c r="H11" s="8">
        <f t="shared" si="0"/>
        <v>9724</v>
      </c>
      <c r="I11" s="8">
        <f t="shared" si="0"/>
        <v>11927.706663000004</v>
      </c>
      <c r="J11" s="8">
        <f t="shared" ref="J11" si="1">SUM(J9:J10)</f>
        <v>12751.796994999997</v>
      </c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 t="s">
        <v>7</v>
      </c>
      <c r="B12" s="6">
        <v>175.816427</v>
      </c>
      <c r="C12" s="6">
        <v>190.85700700000001</v>
      </c>
      <c r="D12" s="6">
        <v>100.151771</v>
      </c>
      <c r="E12" s="6">
        <v>272.03967399999999</v>
      </c>
      <c r="F12" s="6">
        <v>428</v>
      </c>
      <c r="G12" s="6">
        <v>535.51599999999996</v>
      </c>
      <c r="H12" s="6">
        <v>536.29100000000005</v>
      </c>
      <c r="I12" s="22">
        <f>615688399/1000000</f>
        <v>615.688399</v>
      </c>
      <c r="J12" s="22">
        <f>557776763/1000000</f>
        <v>557.77676299999996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 t="s">
        <v>8</v>
      </c>
      <c r="B13" s="6">
        <v>-2415.239219</v>
      </c>
      <c r="C13" s="6">
        <v>-3272.3033639999999</v>
      </c>
      <c r="D13" s="6">
        <v>-3529.0302259999999</v>
      </c>
      <c r="E13" s="6">
        <v>-3725</v>
      </c>
      <c r="F13" s="6">
        <v>-3893</v>
      </c>
      <c r="G13" s="6">
        <v>-4720</v>
      </c>
      <c r="H13" s="6">
        <v>-5333</v>
      </c>
      <c r="I13" s="22">
        <f>-6350811842/1000000</f>
        <v>-6350.8118420000001</v>
      </c>
      <c r="J13" s="22">
        <f>-7064201886/1000000</f>
        <v>-7064.2018859999998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 t="s">
        <v>9</v>
      </c>
      <c r="B14" s="6">
        <v>-14.054392</v>
      </c>
      <c r="C14" s="6">
        <v>-39.579720000000002</v>
      </c>
      <c r="D14" s="6">
        <v>-35.942100000000003</v>
      </c>
      <c r="E14" s="6">
        <v>-51.334488999999998</v>
      </c>
      <c r="F14" s="6">
        <v>-40</v>
      </c>
      <c r="G14" s="6">
        <v>-163.69900000000001</v>
      </c>
      <c r="H14" s="6">
        <v>-519.67700000000002</v>
      </c>
      <c r="I14" s="22">
        <f>-803600697/1000000</f>
        <v>-803.60069699999997</v>
      </c>
      <c r="J14" s="22">
        <f>-380575165/1000000</f>
        <v>-380.57516500000003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 t="s">
        <v>10</v>
      </c>
      <c r="B15" s="6">
        <v>-112.45020599999999</v>
      </c>
      <c r="C15" s="6">
        <v>-15.287944</v>
      </c>
      <c r="D15" s="6">
        <v>-1.1583330000000001</v>
      </c>
      <c r="E15" s="6">
        <v>-77.42765</v>
      </c>
      <c r="F15" s="6">
        <v>-107</v>
      </c>
      <c r="G15" s="6">
        <v>-197</v>
      </c>
      <c r="H15" s="6">
        <v>-369</v>
      </c>
      <c r="I15" s="22">
        <f>-261151374/1000000</f>
        <v>-261.15137399999998</v>
      </c>
      <c r="J15" s="22">
        <f>-296882673/1000000</f>
        <v>-296.88267300000001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2" t="s">
        <v>11</v>
      </c>
      <c r="B16" s="8">
        <f t="shared" ref="B16:I16" si="2">SUM(B11:B15)</f>
        <v>960.34896600000047</v>
      </c>
      <c r="C16" s="8">
        <f t="shared" si="2"/>
        <v>2238.2479409999992</v>
      </c>
      <c r="D16" s="8">
        <f t="shared" si="2"/>
        <v>2730.3876190000024</v>
      </c>
      <c r="E16" s="8">
        <f t="shared" si="2"/>
        <v>3536.2932089999981</v>
      </c>
      <c r="F16" s="8">
        <f t="shared" si="2"/>
        <v>3322</v>
      </c>
      <c r="G16" s="8">
        <f t="shared" si="2"/>
        <v>3601.8169999999996</v>
      </c>
      <c r="H16" s="8">
        <f t="shared" si="2"/>
        <v>4038.6139999999996</v>
      </c>
      <c r="I16" s="8">
        <f t="shared" si="2"/>
        <v>5127.8311490000051</v>
      </c>
      <c r="J16" s="8">
        <f t="shared" ref="J16" si="3">SUM(J11:J15)</f>
        <v>5567.9140339999967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 t="s">
        <v>12</v>
      </c>
      <c r="B17" s="6">
        <v>-216.43176199999999</v>
      </c>
      <c r="C17" s="6">
        <v>-646.65758900000003</v>
      </c>
      <c r="D17" s="6">
        <v>-796.71284100000003</v>
      </c>
      <c r="E17" s="6">
        <v>-879.83815900000002</v>
      </c>
      <c r="F17" s="6">
        <v>-770</v>
      </c>
      <c r="G17" s="6">
        <v>-768</v>
      </c>
      <c r="H17" s="6">
        <v>-890</v>
      </c>
      <c r="I17" s="22">
        <f>-1248387296/1000000</f>
        <v>-1248.3872960000001</v>
      </c>
      <c r="J17" s="22">
        <f>-894897620/1000000</f>
        <v>-894.89761999999996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2" t="s">
        <v>13</v>
      </c>
      <c r="B18" s="8">
        <f t="shared" ref="B18:I18" si="4">SUM(B16:B17)</f>
        <v>743.91720400000054</v>
      </c>
      <c r="C18" s="8">
        <f t="shared" si="4"/>
        <v>1591.5903519999993</v>
      </c>
      <c r="D18" s="8">
        <f t="shared" si="4"/>
        <v>1933.6747780000023</v>
      </c>
      <c r="E18" s="8">
        <f t="shared" si="4"/>
        <v>2656.4550499999982</v>
      </c>
      <c r="F18" s="8">
        <f t="shared" si="4"/>
        <v>2552</v>
      </c>
      <c r="G18" s="8">
        <f t="shared" si="4"/>
        <v>2833.8169999999996</v>
      </c>
      <c r="H18" s="8">
        <f t="shared" si="4"/>
        <v>3148.6139999999996</v>
      </c>
      <c r="I18" s="8">
        <f t="shared" si="4"/>
        <v>3879.4438530000052</v>
      </c>
      <c r="J18" s="8">
        <f t="shared" ref="J18" si="5">SUM(J16:J17)</f>
        <v>4673.016413999997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5"/>
      <c r="C19" s="10"/>
      <c r="D19" s="10"/>
      <c r="E19" s="10"/>
      <c r="F19" s="10"/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1" t="s">
        <v>14</v>
      </c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1"/>
      <c r="B21" s="5"/>
      <c r="C21" s="5"/>
      <c r="D21" s="5"/>
      <c r="E21" s="5"/>
      <c r="F21" s="5"/>
      <c r="G21" s="5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31" t="s">
        <v>15</v>
      </c>
      <c r="B22" s="32"/>
      <c r="C22" s="32"/>
      <c r="D22" s="32"/>
      <c r="E22" s="32"/>
      <c r="F22" s="32"/>
      <c r="G22" s="32"/>
      <c r="H22" s="32"/>
      <c r="I22" s="32"/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5"/>
      <c r="C23" s="5"/>
      <c r="D23" s="5"/>
      <c r="E23" s="5"/>
      <c r="F23" s="5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 t="s">
        <v>16</v>
      </c>
      <c r="B24" s="6">
        <v>804.39473299999997</v>
      </c>
      <c r="C24" s="6">
        <v>1264.2098960000001</v>
      </c>
      <c r="D24" s="6">
        <v>722.16434300000003</v>
      </c>
      <c r="E24" s="6">
        <v>695.62700600000005</v>
      </c>
      <c r="F24" s="7">
        <v>1548.56</v>
      </c>
      <c r="G24" s="6">
        <v>1676</v>
      </c>
      <c r="H24" s="6">
        <v>1607.8440000000001</v>
      </c>
      <c r="I24" s="12">
        <f>1229381273/1000000</f>
        <v>1229.381273</v>
      </c>
      <c r="J24" s="12">
        <f>1728308358/1000000</f>
        <v>1728.308358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 t="s">
        <v>17</v>
      </c>
      <c r="B25" s="6">
        <v>2330.8916199999999</v>
      </c>
      <c r="C25" s="6">
        <v>2561.7316489999998</v>
      </c>
      <c r="D25" s="6">
        <v>3592.691726</v>
      </c>
      <c r="E25" s="6">
        <v>3954.5072650000002</v>
      </c>
      <c r="F25" s="7">
        <v>5329.1480000000001</v>
      </c>
      <c r="G25" s="6">
        <v>7076</v>
      </c>
      <c r="H25" s="6">
        <v>7000.5280000000002</v>
      </c>
      <c r="I25" s="12">
        <f>6913305061/1000000</f>
        <v>6913.305061</v>
      </c>
      <c r="J25" s="12">
        <f>7905701602/1000000</f>
        <v>7905.7016020000001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 t="s">
        <v>18</v>
      </c>
      <c r="B26" s="6">
        <v>0</v>
      </c>
      <c r="C26" s="6">
        <v>212.65675400000001</v>
      </c>
      <c r="D26" s="6">
        <v>41.369475000000001</v>
      </c>
      <c r="E26" s="6">
        <v>91.119637999999995</v>
      </c>
      <c r="F26" s="6">
        <v>185.76</v>
      </c>
      <c r="G26" s="5">
        <v>123</v>
      </c>
      <c r="H26" s="13">
        <v>261.589</v>
      </c>
      <c r="I26" s="12">
        <f>280788885/1000000</f>
        <v>280.78888499999999</v>
      </c>
      <c r="J26" s="12">
        <f>119485746 /1000000</f>
        <v>119.48574600000001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 t="s">
        <v>19</v>
      </c>
      <c r="B27" s="6">
        <v>0</v>
      </c>
      <c r="C27" s="6">
        <v>152.43580299999999</v>
      </c>
      <c r="D27" s="6">
        <v>14.686601</v>
      </c>
      <c r="E27" s="6">
        <v>12.890266</v>
      </c>
      <c r="F27" s="6">
        <v>0</v>
      </c>
      <c r="G27" s="6">
        <v>0</v>
      </c>
      <c r="H27" s="6">
        <v>0</v>
      </c>
      <c r="I27" s="22">
        <v>0</v>
      </c>
      <c r="J27" s="22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 t="s">
        <v>20</v>
      </c>
      <c r="B28" s="6">
        <v>3714.2291599999999</v>
      </c>
      <c r="C28" s="6">
        <v>5194.2053919999998</v>
      </c>
      <c r="D28" s="6">
        <v>5925.978924</v>
      </c>
      <c r="E28" s="6">
        <v>7528.8247810000003</v>
      </c>
      <c r="F28" s="7">
        <v>6995.1689999999999</v>
      </c>
      <c r="G28" s="6">
        <v>11656</v>
      </c>
      <c r="H28" s="6">
        <v>11781.871999999999</v>
      </c>
      <c r="I28" s="12">
        <f>12972572720/1000000</f>
        <v>12972.57272</v>
      </c>
      <c r="J28" s="12">
        <f>14112400431/1000000</f>
        <v>14112.400431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 t="s">
        <v>21</v>
      </c>
      <c r="B29" s="6">
        <v>0</v>
      </c>
      <c r="C29" s="6">
        <v>37.478189</v>
      </c>
      <c r="D29" s="6">
        <v>31.429134999999999</v>
      </c>
      <c r="E29" s="6">
        <v>34.817782000000001</v>
      </c>
      <c r="F29" s="7">
        <v>22.72</v>
      </c>
      <c r="G29" s="6">
        <v>43</v>
      </c>
      <c r="H29" s="6">
        <v>33.380000000000003</v>
      </c>
      <c r="I29" s="12">
        <f>65726630/1000000</f>
        <v>65.72663</v>
      </c>
      <c r="J29" s="22"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 t="s">
        <v>22</v>
      </c>
      <c r="B30" s="6">
        <v>176.74934500000001</v>
      </c>
      <c r="C30" s="6">
        <v>118.611442</v>
      </c>
      <c r="D30" s="6">
        <v>218.68364700000001</v>
      </c>
      <c r="E30" s="6">
        <v>439.78576600000002</v>
      </c>
      <c r="F30" s="7">
        <v>476.66899999999998</v>
      </c>
      <c r="G30" s="6">
        <v>467</v>
      </c>
      <c r="H30" s="6">
        <v>829.60900000000004</v>
      </c>
      <c r="I30" s="12">
        <f>2511700094/1000000</f>
        <v>2511.7000939999998</v>
      </c>
      <c r="J30" s="12">
        <f>2619774907 /1000000</f>
        <v>2619.774907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 t="s">
        <v>23</v>
      </c>
      <c r="B31" s="6">
        <v>0</v>
      </c>
      <c r="C31" s="6">
        <v>0</v>
      </c>
      <c r="D31" s="6">
        <v>0</v>
      </c>
      <c r="E31" s="6">
        <v>0</v>
      </c>
      <c r="F31" s="7">
        <v>125.956</v>
      </c>
      <c r="G31" s="6">
        <v>0</v>
      </c>
      <c r="H31" s="6">
        <v>0</v>
      </c>
      <c r="I31" s="22">
        <v>0</v>
      </c>
      <c r="J31" s="22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2" t="s">
        <v>24</v>
      </c>
      <c r="B32" s="8">
        <f t="shared" ref="B32:I32" si="6">SUM(B24:B31)</f>
        <v>7026.2648580000005</v>
      </c>
      <c r="C32" s="8">
        <f t="shared" si="6"/>
        <v>9541.3291249999984</v>
      </c>
      <c r="D32" s="8">
        <f t="shared" si="6"/>
        <v>10547.003851000001</v>
      </c>
      <c r="E32" s="8">
        <f t="shared" si="6"/>
        <v>12757.572504000002</v>
      </c>
      <c r="F32" s="8">
        <f t="shared" si="6"/>
        <v>14683.982</v>
      </c>
      <c r="G32" s="8">
        <f t="shared" si="6"/>
        <v>21041</v>
      </c>
      <c r="H32" s="8">
        <f t="shared" si="6"/>
        <v>21514.822</v>
      </c>
      <c r="I32" s="15">
        <f t="shared" si="6"/>
        <v>23973.474663000001</v>
      </c>
      <c r="J32" s="15">
        <f t="shared" ref="J32" si="7">SUM(J24:J31)</f>
        <v>26485.671043999999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6"/>
      <c r="C33" s="6"/>
      <c r="D33" s="6"/>
      <c r="E33" s="6"/>
      <c r="F33" s="5"/>
      <c r="G33" s="5"/>
      <c r="H33" s="5"/>
      <c r="I33" s="1"/>
      <c r="J33" s="1"/>
      <c r="K33" s="1"/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 t="s">
        <v>25</v>
      </c>
      <c r="B34" s="6">
        <v>0</v>
      </c>
      <c r="C34" s="6">
        <v>28.230588000000001</v>
      </c>
      <c r="D34" s="6">
        <v>13.108859000000001</v>
      </c>
      <c r="E34" s="6">
        <v>0</v>
      </c>
      <c r="F34" s="6">
        <v>0</v>
      </c>
      <c r="G34" s="6">
        <v>0</v>
      </c>
      <c r="H34" s="6">
        <v>0</v>
      </c>
      <c r="I34" s="22"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 t="s">
        <v>26</v>
      </c>
      <c r="B35" s="6">
        <v>1046.775177</v>
      </c>
      <c r="C35" s="6">
        <v>1421.3690200000001</v>
      </c>
      <c r="D35" s="6">
        <v>3133.942196</v>
      </c>
      <c r="E35" s="6">
        <v>3945.4253480000002</v>
      </c>
      <c r="F35" s="6">
        <v>4935.8114219999998</v>
      </c>
      <c r="G35" s="6">
        <v>5458.0690000000004</v>
      </c>
      <c r="H35" s="6">
        <v>6414.5429999999997</v>
      </c>
      <c r="I35" s="12">
        <f>7290756893/1000000</f>
        <v>7290.7568929999998</v>
      </c>
      <c r="J35" s="34">
        <f>8574285847/1000000</f>
        <v>8574.2858469999992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 t="s">
        <v>27</v>
      </c>
      <c r="B36" s="6">
        <v>40</v>
      </c>
      <c r="C36" s="6">
        <v>40</v>
      </c>
      <c r="D36" s="6">
        <v>40</v>
      </c>
      <c r="E36" s="6">
        <v>101</v>
      </c>
      <c r="F36" s="6">
        <v>101</v>
      </c>
      <c r="G36" s="6">
        <v>101</v>
      </c>
      <c r="H36" s="6">
        <v>101</v>
      </c>
      <c r="I36" s="12">
        <f>66774880/1000000</f>
        <v>66.774879999999996</v>
      </c>
      <c r="J36" s="12">
        <f>490039366/1000000</f>
        <v>490.03936599999997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 t="s">
        <v>28</v>
      </c>
      <c r="B37" s="6">
        <v>0</v>
      </c>
      <c r="C37" s="6">
        <v>0</v>
      </c>
      <c r="D37" s="6">
        <v>2915.3251989999999</v>
      </c>
      <c r="E37" s="7">
        <v>2952</v>
      </c>
      <c r="F37" s="7">
        <v>2952</v>
      </c>
      <c r="G37" s="6">
        <v>2915</v>
      </c>
      <c r="H37" s="6">
        <v>2915.4920000000002</v>
      </c>
      <c r="I37" s="12">
        <f>2915325199/1000000</f>
        <v>2915.3251989999999</v>
      </c>
      <c r="J37" s="12">
        <f>2915325199/1000000</f>
        <v>2915.3251989999999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 t="s">
        <v>29</v>
      </c>
      <c r="B38" s="6">
        <v>0</v>
      </c>
      <c r="C38" s="6">
        <v>0</v>
      </c>
      <c r="D38" s="6">
        <v>0</v>
      </c>
      <c r="E38" s="6">
        <v>0</v>
      </c>
      <c r="F38" s="7">
        <v>531</v>
      </c>
      <c r="G38" s="6">
        <v>509</v>
      </c>
      <c r="H38" s="6">
        <v>488</v>
      </c>
      <c r="I38" s="12">
        <f>466176533/1000000</f>
        <v>466.17653300000001</v>
      </c>
      <c r="J38" s="12">
        <f>444660693/1000000</f>
        <v>444.66069299999998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 t="s">
        <v>30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22">
        <v>0</v>
      </c>
      <c r="J39" s="22"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 t="s">
        <v>31</v>
      </c>
      <c r="B40" s="6">
        <v>21.747987999999999</v>
      </c>
      <c r="C40" s="6">
        <v>56.683629000000003</v>
      </c>
      <c r="D40" s="6">
        <v>81.725977</v>
      </c>
      <c r="E40" s="6">
        <v>118.001892</v>
      </c>
      <c r="F40" s="6">
        <v>95.25</v>
      </c>
      <c r="G40" s="6">
        <v>219.09399999999999</v>
      </c>
      <c r="H40" s="6">
        <v>359.68099999999998</v>
      </c>
      <c r="I40" s="12">
        <f>752107229/1000000</f>
        <v>752.10722899999996</v>
      </c>
      <c r="J40" s="12">
        <f>540950655/1000000</f>
        <v>540.95065499999998</v>
      </c>
      <c r="K40" s="9"/>
      <c r="L40" s="9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 t="s">
        <v>32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705</v>
      </c>
      <c r="I41" s="12">
        <f>678300084/1000000</f>
        <v>678.30008399999997</v>
      </c>
      <c r="J41" s="12">
        <f xml:space="preserve"> 1298679221/1000000</f>
        <v>1298.6792210000001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 t="s">
        <v>33</v>
      </c>
      <c r="B42" s="6">
        <v>23.856636000000002</v>
      </c>
      <c r="C42" s="6">
        <v>101.112707</v>
      </c>
      <c r="D42" s="6">
        <v>50.842436999999997</v>
      </c>
      <c r="E42" s="6">
        <v>57.435661000000003</v>
      </c>
      <c r="F42" s="6">
        <v>59.924999999999997</v>
      </c>
      <c r="G42" s="6">
        <v>92.475999999999999</v>
      </c>
      <c r="H42" s="6">
        <f>90</f>
        <v>90</v>
      </c>
      <c r="I42" s="12">
        <f>133450144/1000000</f>
        <v>133.45014399999999</v>
      </c>
      <c r="J42" s="12">
        <f>130020844/1000000</f>
        <v>130.02084400000001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2" t="s">
        <v>34</v>
      </c>
      <c r="B43" s="8">
        <f t="shared" ref="B43:I43" si="8">SUM(B34:B42)</f>
        <v>1132.379801</v>
      </c>
      <c r="C43" s="8">
        <f t="shared" si="8"/>
        <v>1647.3959440000001</v>
      </c>
      <c r="D43" s="8">
        <f t="shared" si="8"/>
        <v>6234.9446680000001</v>
      </c>
      <c r="E43" s="8">
        <f t="shared" si="8"/>
        <v>7173.8629010000013</v>
      </c>
      <c r="F43" s="8">
        <f t="shared" si="8"/>
        <v>8674.9864219999981</v>
      </c>
      <c r="G43" s="8">
        <f t="shared" si="8"/>
        <v>9294.6389999999992</v>
      </c>
      <c r="H43" s="8">
        <f t="shared" si="8"/>
        <v>11073.716</v>
      </c>
      <c r="I43" s="16">
        <f t="shared" si="8"/>
        <v>12302.890961999999</v>
      </c>
      <c r="J43" s="16">
        <f t="shared" ref="J43" si="9">SUM(J34:J42)</f>
        <v>14393.961825</v>
      </c>
      <c r="K43" s="9"/>
      <c r="L43" s="9"/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6"/>
      <c r="C44" s="6"/>
      <c r="D44" s="6"/>
      <c r="E44" s="6"/>
      <c r="F44" s="5"/>
      <c r="G44" s="5"/>
      <c r="H44" s="5"/>
      <c r="I44" s="1"/>
      <c r="J44" s="1"/>
      <c r="K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2" t="s">
        <v>35</v>
      </c>
      <c r="B45" s="8">
        <f t="shared" ref="B45:J45" si="10">B32+B43</f>
        <v>8158.6446590000005</v>
      </c>
      <c r="C45" s="8">
        <f t="shared" si="10"/>
        <v>11188.725068999998</v>
      </c>
      <c r="D45" s="8">
        <f t="shared" si="10"/>
        <v>16781.948519000001</v>
      </c>
      <c r="E45" s="8">
        <f t="shared" si="10"/>
        <v>19931.435405000004</v>
      </c>
      <c r="F45" s="8">
        <f t="shared" si="10"/>
        <v>23358.968421999998</v>
      </c>
      <c r="G45" s="8">
        <f t="shared" si="10"/>
        <v>30335.638999999999</v>
      </c>
      <c r="H45" s="8">
        <f t="shared" si="10"/>
        <v>32588.538</v>
      </c>
      <c r="I45" s="8">
        <f t="shared" si="10"/>
        <v>36276.365624999999</v>
      </c>
      <c r="J45" s="8">
        <f t="shared" si="10"/>
        <v>40879.632869000001</v>
      </c>
      <c r="K45" s="1"/>
      <c r="L45" s="1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6"/>
      <c r="C46" s="6"/>
      <c r="D46" s="18"/>
      <c r="E46" s="18"/>
      <c r="F46" s="5"/>
      <c r="G46" s="5"/>
      <c r="H46" s="5"/>
      <c r="I46" s="1"/>
      <c r="J46" s="1"/>
      <c r="K46" s="9"/>
      <c r="L46" s="9"/>
      <c r="M46" s="1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 t="s">
        <v>36</v>
      </c>
      <c r="B47" s="6">
        <v>2717.3000019999999</v>
      </c>
      <c r="C47" s="6">
        <v>0</v>
      </c>
      <c r="D47" s="6">
        <v>2250</v>
      </c>
      <c r="E47" s="6">
        <v>670.5</v>
      </c>
      <c r="F47" s="6">
        <v>2088.5</v>
      </c>
      <c r="G47" s="6">
        <v>3209.5</v>
      </c>
      <c r="H47" s="6">
        <v>2433.509</v>
      </c>
      <c r="I47" s="12">
        <f>3533466680/1000000</f>
        <v>3533.46668</v>
      </c>
      <c r="J47" s="12">
        <f>(2800000000+9764285)/1000000</f>
        <v>2809.7642850000002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 t="s">
        <v>37</v>
      </c>
      <c r="B48" s="6">
        <v>2535.4918579999999</v>
      </c>
      <c r="C48" s="6">
        <v>4099.492499</v>
      </c>
      <c r="D48" s="6">
        <v>3863.9702069999998</v>
      </c>
      <c r="E48" s="6">
        <v>4729.8662560000002</v>
      </c>
      <c r="F48" s="6">
        <v>5031.47</v>
      </c>
      <c r="G48" s="6">
        <v>7007.1490000000003</v>
      </c>
      <c r="H48" s="6">
        <f>6832.729</f>
        <v>6832.7290000000003</v>
      </c>
      <c r="I48" s="12">
        <f>9670565636/1000000</f>
        <v>9670.5656359999994</v>
      </c>
      <c r="J48" s="12">
        <f>9104641236 /1000000</f>
        <v>9104.6412359999995</v>
      </c>
      <c r="K48" s="1"/>
      <c r="L48" s="1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 t="s">
        <v>38</v>
      </c>
      <c r="B49" s="6">
        <v>51.835543999999999</v>
      </c>
      <c r="C49" s="6">
        <v>128.48958200000001</v>
      </c>
      <c r="D49" s="6">
        <v>146.53336300000001</v>
      </c>
      <c r="E49" s="6">
        <v>148.63128800000001</v>
      </c>
      <c r="F49" s="6">
        <v>0</v>
      </c>
      <c r="G49" s="6">
        <v>98.64</v>
      </c>
      <c r="H49" s="6">
        <v>148.43899999999999</v>
      </c>
      <c r="I49" s="12">
        <f>194877487/1000000</f>
        <v>194.877487</v>
      </c>
      <c r="J49" s="12">
        <f>89626028 /1000000</f>
        <v>89.626028000000005</v>
      </c>
      <c r="K49" s="1"/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 t="s">
        <v>39</v>
      </c>
      <c r="B50" s="6">
        <v>0</v>
      </c>
      <c r="C50" s="6">
        <v>286.07480500000003</v>
      </c>
      <c r="D50" s="6">
        <v>13.979191999999999</v>
      </c>
      <c r="E50" s="6">
        <v>89.994184000000004</v>
      </c>
      <c r="F50" s="6">
        <v>21.814</v>
      </c>
      <c r="G50" s="6">
        <v>10.581</v>
      </c>
      <c r="H50" s="6">
        <v>19.706</v>
      </c>
      <c r="I50" s="12">
        <f>75894675/1000000</f>
        <v>75.894675000000007</v>
      </c>
      <c r="J50" s="12">
        <f>84941137 /1000000</f>
        <v>84.941136999999998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 t="s">
        <v>40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26.779</v>
      </c>
      <c r="H51" s="6">
        <v>269.08199999999999</v>
      </c>
      <c r="I51" s="12">
        <f>271207134/1000000</f>
        <v>271.207134</v>
      </c>
      <c r="J51" s="12">
        <f>247628625/1000000</f>
        <v>247.628625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2" t="s">
        <v>41</v>
      </c>
      <c r="B52" s="8">
        <f t="shared" ref="B52:I52" si="11">SUM(B47:B51)</f>
        <v>5304.6274039999989</v>
      </c>
      <c r="C52" s="8">
        <f t="shared" si="11"/>
        <v>4514.0568860000003</v>
      </c>
      <c r="D52" s="8">
        <f t="shared" si="11"/>
        <v>6274.4827620000005</v>
      </c>
      <c r="E52" s="8">
        <f t="shared" si="11"/>
        <v>5638.991728</v>
      </c>
      <c r="F52" s="8">
        <f t="shared" si="11"/>
        <v>7141.7840000000006</v>
      </c>
      <c r="G52" s="8">
        <f t="shared" si="11"/>
        <v>10352.649000000001</v>
      </c>
      <c r="H52" s="8">
        <f t="shared" si="11"/>
        <v>9703.465000000002</v>
      </c>
      <c r="I52" s="8">
        <f t="shared" si="11"/>
        <v>13746.011611999998</v>
      </c>
      <c r="J52" s="8">
        <f t="shared" ref="J52:K52" si="12">SUM(J47:J51)</f>
        <v>12336.601311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6"/>
      <c r="C53" s="6"/>
      <c r="D53" s="6"/>
      <c r="E53" s="6"/>
      <c r="F53" s="5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 t="s">
        <v>42</v>
      </c>
      <c r="B54" s="6">
        <v>0</v>
      </c>
      <c r="C54" s="6">
        <v>0</v>
      </c>
      <c r="D54" s="6">
        <v>0</v>
      </c>
      <c r="E54" s="6">
        <v>1633.5</v>
      </c>
      <c r="F54" s="6">
        <v>1619.5</v>
      </c>
      <c r="G54" s="6">
        <f>3103</f>
        <v>3103</v>
      </c>
      <c r="H54" s="6">
        <f>3086.5</f>
        <v>3086.5</v>
      </c>
      <c r="I54" s="22">
        <v>0</v>
      </c>
      <c r="J54" s="12">
        <f>1982127068 /1000000</f>
        <v>1982.127068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 t="s">
        <v>43</v>
      </c>
      <c r="B55" s="6">
        <v>13.948453000000001</v>
      </c>
      <c r="C55" s="6">
        <v>93.870878000000005</v>
      </c>
      <c r="D55" s="6">
        <v>157.039771</v>
      </c>
      <c r="E55" s="6">
        <v>118.327684</v>
      </c>
      <c r="F55" s="6">
        <v>107.5</v>
      </c>
      <c r="G55" s="6">
        <v>78.278000000000006</v>
      </c>
      <c r="H55" s="6">
        <v>160</v>
      </c>
      <c r="I55" s="12">
        <f>618902329/1000000</f>
        <v>618.90232900000001</v>
      </c>
      <c r="J55" s="12">
        <f>508776526 /1000000</f>
        <v>508.77652599999999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 t="s">
        <v>44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78.802000000000007</v>
      </c>
      <c r="H56" s="6">
        <v>484.10300000000001</v>
      </c>
      <c r="I56" s="12">
        <f>465842247/1000000</f>
        <v>465.84224699999999</v>
      </c>
      <c r="J56" s="12">
        <f>1164210050/1000000</f>
        <v>1164.2100499999999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 t="s">
        <v>45</v>
      </c>
      <c r="B57" s="6">
        <v>1.418347</v>
      </c>
      <c r="C57" s="6">
        <v>0.46002199999999999</v>
      </c>
      <c r="D57" s="6">
        <v>3.594077</v>
      </c>
      <c r="E57" s="6">
        <v>2.5476679999999998</v>
      </c>
      <c r="F57" s="6">
        <v>7.556</v>
      </c>
      <c r="G57" s="6">
        <v>0</v>
      </c>
      <c r="H57" s="13">
        <f>0.36</f>
        <v>0.36</v>
      </c>
      <c r="I57" s="12">
        <f>9398845/1000000</f>
        <v>9.3988449999999997</v>
      </c>
      <c r="J57" s="22"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2" t="s">
        <v>46</v>
      </c>
      <c r="B58" s="8">
        <f t="shared" ref="B58:I58" si="13">SUM(B54:B57)</f>
        <v>15.366800000000001</v>
      </c>
      <c r="C58" s="8">
        <f t="shared" si="13"/>
        <v>94.3309</v>
      </c>
      <c r="D58" s="8">
        <f t="shared" si="13"/>
        <v>160.633848</v>
      </c>
      <c r="E58" s="8">
        <f t="shared" si="13"/>
        <v>1754.375352</v>
      </c>
      <c r="F58" s="8">
        <f t="shared" si="13"/>
        <v>1734.556</v>
      </c>
      <c r="G58" s="8">
        <f t="shared" si="13"/>
        <v>3260.08</v>
      </c>
      <c r="H58" s="8">
        <f t="shared" si="13"/>
        <v>3730.9630000000002</v>
      </c>
      <c r="I58" s="8">
        <f t="shared" si="13"/>
        <v>1094.143421</v>
      </c>
      <c r="J58" s="8">
        <f>SUM(J54:J57)</f>
        <v>3655.113644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6"/>
      <c r="C59" s="6"/>
      <c r="D59" s="6"/>
      <c r="E59" s="6"/>
      <c r="F59" s="5"/>
      <c r="G59" s="5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 t="s">
        <v>47</v>
      </c>
      <c r="B60" s="6">
        <v>1500</v>
      </c>
      <c r="C60" s="6">
        <v>2231.021604</v>
      </c>
      <c r="D60" s="6">
        <v>2360.6859330000002</v>
      </c>
      <c r="E60" s="6">
        <v>3541.0288949999999</v>
      </c>
      <c r="F60" s="6">
        <v>3542.2579999999998</v>
      </c>
      <c r="G60" s="6">
        <v>3542.259</v>
      </c>
      <c r="H60" s="6">
        <v>3542.259</v>
      </c>
      <c r="I60" s="12">
        <f>3542258595/1000000</f>
        <v>3542.2585949999998</v>
      </c>
      <c r="J60" s="12">
        <f>3542258595/1000000</f>
        <v>3542.2585949999998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 t="s">
        <v>48</v>
      </c>
      <c r="B61" s="6">
        <v>0</v>
      </c>
      <c r="C61" s="6">
        <v>2769.3374100000001</v>
      </c>
      <c r="D61" s="6">
        <v>4911.9864390000002</v>
      </c>
      <c r="E61" s="6">
        <v>4911.9864390000002</v>
      </c>
      <c r="F61" s="6">
        <v>4928.0950000000003</v>
      </c>
      <c r="G61" s="6">
        <v>4936.8590000000004</v>
      </c>
      <c r="H61" s="6">
        <v>4936.8590000000004</v>
      </c>
      <c r="I61" s="12">
        <f>4936859146/1000000</f>
        <v>4936.8591459999998</v>
      </c>
      <c r="J61" s="12">
        <f>4936859146/1000000</f>
        <v>4936.8591459999998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 t="s">
        <v>49</v>
      </c>
      <c r="B62" s="6">
        <v>0</v>
      </c>
      <c r="C62" s="6">
        <v>3.3769840000000002</v>
      </c>
      <c r="D62" s="6">
        <v>5.2623600000000001</v>
      </c>
      <c r="E62" s="6">
        <v>5.2623600000000001</v>
      </c>
      <c r="F62" s="6">
        <v>8.3239999999999998</v>
      </c>
      <c r="G62" s="6">
        <v>8.2119999999999997</v>
      </c>
      <c r="H62" s="6">
        <v>8.2110000000000003</v>
      </c>
      <c r="I62" s="12">
        <f>8211398/1000000</f>
        <v>8.2113980000000009</v>
      </c>
      <c r="J62" s="12">
        <f>8211398/1000000</f>
        <v>8.2113980000000009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 t="s">
        <v>50</v>
      </c>
      <c r="B63" s="6">
        <v>0</v>
      </c>
      <c r="C63" s="6">
        <v>30.628941999999999</v>
      </c>
      <c r="D63" s="6">
        <v>30.628941999999999</v>
      </c>
      <c r="E63" s="6">
        <v>30.628941999999999</v>
      </c>
      <c r="F63" s="6">
        <v>30.629000000000001</v>
      </c>
      <c r="G63" s="6">
        <v>30.628</v>
      </c>
      <c r="H63" s="6">
        <v>30.628</v>
      </c>
      <c r="I63" s="12">
        <f>30628942/1000000</f>
        <v>30.628941999999999</v>
      </c>
      <c r="J63" s="12">
        <f>30628942/1000000</f>
        <v>30.628941999999999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 t="s">
        <v>51</v>
      </c>
      <c r="B64" s="6">
        <v>19.347898000000001</v>
      </c>
      <c r="C64" s="6">
        <v>19.477591</v>
      </c>
      <c r="D64" s="6">
        <v>48.506726999999998</v>
      </c>
      <c r="E64" s="6">
        <v>34.92286</v>
      </c>
      <c r="F64" s="6">
        <v>39.743000000000002</v>
      </c>
      <c r="G64" s="6">
        <v>42.512999999999998</v>
      </c>
      <c r="H64" s="6">
        <v>25.44</v>
      </c>
      <c r="I64" s="12">
        <f>23818317/1000000</f>
        <v>23.818317</v>
      </c>
      <c r="J64" s="12">
        <f>23886813 /1000000</f>
        <v>23.886813</v>
      </c>
      <c r="K64" s="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 t="s">
        <v>52</v>
      </c>
      <c r="B65" s="6">
        <v>1319.302557</v>
      </c>
      <c r="C65" s="6">
        <v>1526.4947520000001</v>
      </c>
      <c r="D65" s="6">
        <v>2989.761508</v>
      </c>
      <c r="E65" s="6">
        <v>4014.9963120000002</v>
      </c>
      <c r="F65" s="6">
        <v>5934.0659999999998</v>
      </c>
      <c r="G65" s="6">
        <v>8164.1009999999997</v>
      </c>
      <c r="H65" s="6">
        <v>10610.919</v>
      </c>
      <c r="I65" s="12">
        <f>12894434195/1000000</f>
        <v>12894.434195</v>
      </c>
      <c r="J65" s="12">
        <f>16346073020 /1000000</f>
        <v>16346.07302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2" t="s">
        <v>53</v>
      </c>
      <c r="B66" s="8">
        <f t="shared" ref="B66:I66" si="14">SUM(B60:B65)</f>
        <v>2838.650455</v>
      </c>
      <c r="C66" s="8">
        <f t="shared" si="14"/>
        <v>6580.3372830000008</v>
      </c>
      <c r="D66" s="8">
        <f t="shared" si="14"/>
        <v>10346.831909</v>
      </c>
      <c r="E66" s="8">
        <f t="shared" si="14"/>
        <v>12538.825808000001</v>
      </c>
      <c r="F66" s="8">
        <f t="shared" si="14"/>
        <v>14483.115000000002</v>
      </c>
      <c r="G66" s="8">
        <f t="shared" si="14"/>
        <v>16724.572</v>
      </c>
      <c r="H66" s="8">
        <f t="shared" si="14"/>
        <v>19154.315999999999</v>
      </c>
      <c r="I66" s="8">
        <f t="shared" si="14"/>
        <v>21436.210592999996</v>
      </c>
      <c r="J66" s="8">
        <f t="shared" ref="J66" si="15">SUM(J60:J65)</f>
        <v>24887.917913999998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6"/>
      <c r="C67" s="6"/>
      <c r="D67" s="10"/>
      <c r="E67" s="10"/>
      <c r="F67" s="5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2" t="s">
        <v>54</v>
      </c>
      <c r="B68" s="8">
        <f t="shared" ref="B68:J68" si="16">B52+B58+B66</f>
        <v>8158.6446589999987</v>
      </c>
      <c r="C68" s="8">
        <f t="shared" si="16"/>
        <v>11188.725069</v>
      </c>
      <c r="D68" s="8">
        <f t="shared" si="16"/>
        <v>16781.948519000001</v>
      </c>
      <c r="E68" s="8">
        <f t="shared" si="16"/>
        <v>19932.192888000001</v>
      </c>
      <c r="F68" s="8">
        <f t="shared" si="16"/>
        <v>23359.455000000002</v>
      </c>
      <c r="G68" s="8">
        <f t="shared" si="16"/>
        <v>30337.300999999999</v>
      </c>
      <c r="H68" s="8">
        <f t="shared" si="16"/>
        <v>32588.743999999999</v>
      </c>
      <c r="I68" s="8">
        <f t="shared" si="16"/>
        <v>36276.365625999999</v>
      </c>
      <c r="J68" s="8">
        <f t="shared" si="16"/>
        <v>40879.632868999994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6"/>
      <c r="C69" s="6"/>
      <c r="D69" s="6"/>
      <c r="E69" s="6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1" t="s">
        <v>55</v>
      </c>
      <c r="B70" s="5"/>
      <c r="C70" s="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1"/>
      <c r="B71" s="5"/>
      <c r="C71" s="5"/>
      <c r="D71" s="5"/>
      <c r="E71" s="5"/>
      <c r="F71" s="5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31" t="s">
        <v>56</v>
      </c>
      <c r="B72" s="35"/>
      <c r="C72" s="35"/>
      <c r="D72" s="35"/>
      <c r="E72" s="35"/>
      <c r="F72" s="32"/>
      <c r="G72" s="32"/>
      <c r="H72" s="32"/>
      <c r="I72" s="32"/>
      <c r="J72" s="3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5"/>
      <c r="C73" s="5"/>
      <c r="D73" s="5"/>
      <c r="E73" s="5"/>
      <c r="F73" s="5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2" t="s">
        <v>57</v>
      </c>
      <c r="B74" s="3"/>
      <c r="C74" s="3"/>
      <c r="D74" s="3"/>
      <c r="E74" s="3"/>
      <c r="F74" s="5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 t="s">
        <v>11</v>
      </c>
      <c r="B75" s="6">
        <v>960.34896600000002</v>
      </c>
      <c r="C75" s="6">
        <v>2238.2479410000001</v>
      </c>
      <c r="D75" s="6">
        <v>2730.3876190000001</v>
      </c>
      <c r="E75" s="6">
        <v>3535.434221</v>
      </c>
      <c r="F75" s="7">
        <v>3322.1351949999998</v>
      </c>
      <c r="G75" s="6">
        <v>3602.1390000000001</v>
      </c>
      <c r="H75" s="6">
        <v>4038.6289999999999</v>
      </c>
      <c r="I75" s="22">
        <f>5127.831</f>
        <v>5127.8310000000001</v>
      </c>
      <c r="J75" s="22">
        <f>5567.914</f>
        <v>5567.9139999999998</v>
      </c>
      <c r="K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 t="s">
        <v>58</v>
      </c>
      <c r="B76" s="6"/>
      <c r="C76" s="6"/>
      <c r="D76" s="6"/>
      <c r="E76" s="6"/>
      <c r="F76" s="5"/>
      <c r="G76" s="6"/>
      <c r="H76" s="6"/>
      <c r="I76" s="22"/>
      <c r="J76" s="2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21" t="s">
        <v>59</v>
      </c>
      <c r="B77" s="6">
        <v>193.394847</v>
      </c>
      <c r="C77" s="6">
        <v>152.749348</v>
      </c>
      <c r="D77" s="6">
        <v>152.384578</v>
      </c>
      <c r="E77" s="6">
        <v>359.35353199999997</v>
      </c>
      <c r="F77" s="6">
        <v>525.32446300000004</v>
      </c>
      <c r="G77" s="6">
        <v>726.90899999999999</v>
      </c>
      <c r="H77" s="6">
        <v>932.36599999999999</v>
      </c>
      <c r="I77" s="22">
        <f>1106.149</f>
        <v>1106.1489999999999</v>
      </c>
      <c r="J77" s="36">
        <v>1271.559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21" t="s">
        <v>10</v>
      </c>
      <c r="B78" s="6">
        <v>112.45020599999999</v>
      </c>
      <c r="C78" s="6">
        <v>15.287944</v>
      </c>
      <c r="D78" s="6">
        <v>1.1583330000000001</v>
      </c>
      <c r="E78" s="6">
        <v>77.42765</v>
      </c>
      <c r="F78" s="6">
        <v>106.97799999999999</v>
      </c>
      <c r="G78" s="6">
        <v>196.86099999999999</v>
      </c>
      <c r="H78" s="6">
        <v>369.428</v>
      </c>
      <c r="I78" s="22">
        <f>261.151</f>
        <v>261.15100000000001</v>
      </c>
      <c r="J78" s="36">
        <v>296.88299999999998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21" t="s">
        <v>60</v>
      </c>
      <c r="B79" s="6">
        <v>0</v>
      </c>
      <c r="C79" s="6">
        <v>30.307632999999999</v>
      </c>
      <c r="D79" s="6">
        <f>5.587422+7.848982</f>
        <v>13.436404</v>
      </c>
      <c r="E79" s="6">
        <v>94.097955999999996</v>
      </c>
      <c r="F79" s="13">
        <f>5.501642+2.936341</f>
        <v>8.4379830000000009</v>
      </c>
      <c r="G79" s="6">
        <f>14.125+92.973</f>
        <v>107.098</v>
      </c>
      <c r="H79" s="6">
        <v>5.7939999999999996</v>
      </c>
      <c r="I79" s="22">
        <f>9.27</f>
        <v>9.27</v>
      </c>
      <c r="J79" s="36"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21" t="s">
        <v>61</v>
      </c>
      <c r="B80" s="6">
        <v>-16.994194</v>
      </c>
      <c r="C80" s="6">
        <v>0</v>
      </c>
      <c r="D80" s="6">
        <v>0</v>
      </c>
      <c r="E80" s="6">
        <f>-6.183465-70.256049</f>
        <v>-76.439514000000003</v>
      </c>
      <c r="F80" s="6">
        <f>-54.401-56.387</f>
        <v>-110.78800000000001</v>
      </c>
      <c r="G80" s="6">
        <f>-71.76-28.617</f>
        <v>-100.37700000000001</v>
      </c>
      <c r="H80" s="6">
        <f>-125.718-192.376</f>
        <v>-318.09399999999999</v>
      </c>
      <c r="I80" s="22">
        <f>-107.185-373.327</f>
        <v>-480.512</v>
      </c>
      <c r="J80" s="36">
        <f>-107.629-126.276</f>
        <v>-233.905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21" t="s">
        <v>62</v>
      </c>
      <c r="B81" s="6">
        <v>0</v>
      </c>
      <c r="C81" s="6">
        <v>0</v>
      </c>
      <c r="D81" s="6">
        <v>0</v>
      </c>
      <c r="E81" s="6">
        <v>0</v>
      </c>
      <c r="F81" s="6">
        <f>-33.463059</f>
        <v>-33.463059000000001</v>
      </c>
      <c r="G81" s="6">
        <v>0</v>
      </c>
      <c r="H81" s="6">
        <f>-48.888</f>
        <v>-48.887999999999998</v>
      </c>
      <c r="I81" s="22">
        <v>-3.4460000000000002</v>
      </c>
      <c r="J81" s="36">
        <v>-21.523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21" t="s">
        <v>63</v>
      </c>
      <c r="B82" s="6">
        <v>4.4623179999999998</v>
      </c>
      <c r="C82" s="6">
        <v>71.192497000000003</v>
      </c>
      <c r="D82" s="6">
        <f>17.913363+3.715224</f>
        <v>21.628587</v>
      </c>
      <c r="E82" s="6">
        <f>18.970008+6.841777</f>
        <v>25.811785</v>
      </c>
      <c r="F82" s="13">
        <f>11.956+10.797</f>
        <v>22.753</v>
      </c>
      <c r="G82" s="6">
        <f>94.774+22.065</f>
        <v>116.839</v>
      </c>
      <c r="H82" s="6">
        <f>72.394+185.818</f>
        <v>258.21199999999999</v>
      </c>
      <c r="I82" s="22">
        <f>83.254+391.037</f>
        <v>474.291</v>
      </c>
      <c r="J82" s="36">
        <f>220.131</f>
        <v>220.131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21" t="s">
        <v>64</v>
      </c>
      <c r="B83" s="6">
        <v>3.0952500000000001</v>
      </c>
      <c r="C83" s="6">
        <v>-0.30996499999999999</v>
      </c>
      <c r="D83" s="6">
        <v>3.553569</v>
      </c>
      <c r="E83" s="6">
        <f>-4.177398-5.211839</f>
        <v>-9.3892370000000014</v>
      </c>
      <c r="F83" s="6">
        <f>-157.750288-3.276212</f>
        <v>-161.0265</v>
      </c>
      <c r="G83" s="6">
        <f>-123.654+2.098</f>
        <v>-121.556</v>
      </c>
      <c r="H83" s="6">
        <f>-15.15+31.63</f>
        <v>16.479999999999997</v>
      </c>
      <c r="I83" s="22">
        <f>-2.504-107.665</f>
        <v>-110.16900000000001</v>
      </c>
      <c r="J83" s="36">
        <f>-4.166-79.395</f>
        <v>-83.560999999999993</v>
      </c>
      <c r="K83" s="3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21" t="s">
        <v>65</v>
      </c>
      <c r="B84" s="6">
        <v>9.3137869999999996</v>
      </c>
      <c r="C84" s="6">
        <v>18.082851999999999</v>
      </c>
      <c r="D84" s="6">
        <v>57.822015999999998</v>
      </c>
      <c r="E84" s="6">
        <v>34.255248999999999</v>
      </c>
      <c r="F84" s="6">
        <v>40.284999999999997</v>
      </c>
      <c r="G84" s="6">
        <v>41.694000000000003</v>
      </c>
      <c r="H84" s="6">
        <v>38.686</v>
      </c>
      <c r="I84" s="22">
        <f>70.398</f>
        <v>70.397999999999996</v>
      </c>
      <c r="J84" s="36">
        <v>142.13900000000001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21" t="s">
        <v>66</v>
      </c>
      <c r="B85" s="6">
        <v>4.066287</v>
      </c>
      <c r="C85" s="6">
        <v>0</v>
      </c>
      <c r="D85" s="6">
        <v>13.024319999999999</v>
      </c>
      <c r="E85" s="6">
        <v>5.4187320000000003</v>
      </c>
      <c r="F85" s="6">
        <v>1.444836</v>
      </c>
      <c r="G85" s="6">
        <v>50.88</v>
      </c>
      <c r="H85" s="6">
        <v>5.5389999999999997</v>
      </c>
      <c r="I85" s="22">
        <f>9.316</f>
        <v>9.3160000000000007</v>
      </c>
      <c r="J85" s="36">
        <v>31.047999999999998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21" t="s">
        <v>67</v>
      </c>
      <c r="B86" s="6">
        <v>0</v>
      </c>
      <c r="C86" s="6">
        <v>0</v>
      </c>
      <c r="D86" s="6">
        <v>0</v>
      </c>
      <c r="E86" s="6">
        <v>0</v>
      </c>
      <c r="F86" s="6">
        <v>2.0064449999999998</v>
      </c>
      <c r="G86" s="6">
        <v>0</v>
      </c>
      <c r="H86" s="6">
        <v>0</v>
      </c>
      <c r="I86" s="22">
        <v>0</v>
      </c>
      <c r="J86" s="36">
        <v>0</v>
      </c>
      <c r="K86" s="1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23" t="s">
        <v>68</v>
      </c>
      <c r="B87" s="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2">
        <v>34.700000000000003</v>
      </c>
      <c r="J87" s="36">
        <v>0</v>
      </c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21" t="s">
        <v>69</v>
      </c>
      <c r="B88" s="6">
        <v>0</v>
      </c>
      <c r="C88" s="6">
        <v>15.995809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22"/>
      <c r="J88" s="36">
        <v>0</v>
      </c>
      <c r="K88" s="19"/>
      <c r="L88" s="1"/>
      <c r="M88" s="1"/>
      <c r="N88" s="1"/>
      <c r="O88" s="1"/>
      <c r="P88" s="19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21" t="s">
        <v>70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36.957000000000001</v>
      </c>
      <c r="H89" s="6">
        <v>0</v>
      </c>
      <c r="I89" s="22">
        <v>0</v>
      </c>
      <c r="J89" s="36">
        <v>0</v>
      </c>
      <c r="K89" s="1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21" t="s">
        <v>71</v>
      </c>
      <c r="B90" s="6">
        <v>0</v>
      </c>
      <c r="C90" s="6">
        <v>3.3769840000000002</v>
      </c>
      <c r="D90" s="6">
        <v>1.8853759999999999</v>
      </c>
      <c r="E90" s="6"/>
      <c r="F90" s="6">
        <v>3.0629529999999998</v>
      </c>
      <c r="G90" s="6">
        <v>8.6509999999999998</v>
      </c>
      <c r="H90" s="6">
        <v>0</v>
      </c>
      <c r="I90" s="22">
        <v>0</v>
      </c>
      <c r="J90" s="36">
        <v>0</v>
      </c>
      <c r="K90" s="1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21" t="s">
        <v>72</v>
      </c>
      <c r="B91" s="6">
        <v>0</v>
      </c>
      <c r="C91" s="6">
        <v>-0.45309199999999999</v>
      </c>
      <c r="D91" s="6">
        <v>11.108136999999999</v>
      </c>
      <c r="E91" s="6">
        <v>-5.0813259999999998</v>
      </c>
      <c r="F91" s="6">
        <v>-130.35762299999999</v>
      </c>
      <c r="G91" s="6">
        <v>44.741999999999997</v>
      </c>
      <c r="H91" s="6">
        <v>-31.084</v>
      </c>
      <c r="I91" s="22">
        <v>41.100999999999999</v>
      </c>
      <c r="J91" s="36">
        <v>-43.226999999999997</v>
      </c>
      <c r="K91" s="1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21" t="s">
        <v>110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36">
        <v>-41.072000000000003</v>
      </c>
      <c r="K92" s="1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21" t="s">
        <v>73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22">
        <v>0</v>
      </c>
      <c r="J93" s="36">
        <v>0</v>
      </c>
      <c r="K93" s="1"/>
      <c r="L93" s="1"/>
      <c r="M93" s="1"/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21" t="s">
        <v>74</v>
      </c>
      <c r="B94" s="6">
        <v>-10.233586000000001</v>
      </c>
      <c r="C94" s="6">
        <v>-9.1652760000000004</v>
      </c>
      <c r="D94" s="6">
        <v>-7.629931</v>
      </c>
      <c r="E94" s="6">
        <v>-5.8540989999999997</v>
      </c>
      <c r="F94" s="6">
        <v>-4.9119999999999999</v>
      </c>
      <c r="G94" s="6">
        <v>-7.5789999999999997</v>
      </c>
      <c r="H94" s="6">
        <v>-8.0820000000000007</v>
      </c>
      <c r="I94" s="22">
        <v>-35.207000000000001</v>
      </c>
      <c r="J94" s="36">
        <v>-6.3479999999999999</v>
      </c>
      <c r="K94" s="1"/>
      <c r="L94" s="1"/>
      <c r="M94" s="1"/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25" t="s">
        <v>75</v>
      </c>
      <c r="B95" s="26">
        <f t="shared" ref="B95:I95" si="17">SUM(B75:B94)</f>
        <v>1259.9038810000002</v>
      </c>
      <c r="C95" s="26">
        <f t="shared" si="17"/>
        <v>2535.3126749999997</v>
      </c>
      <c r="D95" s="26">
        <f t="shared" si="17"/>
        <v>2998.7590080000009</v>
      </c>
      <c r="E95" s="26">
        <f t="shared" si="17"/>
        <v>4035.0349489999999</v>
      </c>
      <c r="F95" s="26">
        <f t="shared" si="17"/>
        <v>3591.8806930000001</v>
      </c>
      <c r="G95" s="26">
        <f t="shared" si="17"/>
        <v>4703.2580000000007</v>
      </c>
      <c r="H95" s="26">
        <f t="shared" si="17"/>
        <v>5258.985999999999</v>
      </c>
      <c r="I95" s="26">
        <f t="shared" si="17"/>
        <v>6504.8729999999996</v>
      </c>
      <c r="J95" s="26">
        <f t="shared" ref="J95" si="18">SUM(J75:J94)</f>
        <v>7100.0380000000005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 t="s">
        <v>76</v>
      </c>
      <c r="B96" s="6"/>
      <c r="C96" s="6"/>
      <c r="D96" s="18"/>
      <c r="E96" s="6"/>
      <c r="F96" s="5"/>
      <c r="G96" s="6"/>
      <c r="H96" s="6"/>
      <c r="I96" s="22"/>
      <c r="J96" s="2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21" t="s">
        <v>77</v>
      </c>
      <c r="B97" s="6">
        <v>-1057.4859980000001</v>
      </c>
      <c r="C97" s="6">
        <v>-1560.1620760000001</v>
      </c>
      <c r="D97" s="6">
        <v>-780.10580600000003</v>
      </c>
      <c r="E97" s="6">
        <v>-313.38849299999998</v>
      </c>
      <c r="F97" s="6">
        <v>-1213.283827</v>
      </c>
      <c r="G97" s="6">
        <v>-1805.6110000000001</v>
      </c>
      <c r="H97" s="6">
        <v>119.292</v>
      </c>
      <c r="I97" s="22">
        <f>-605209506/1000000</f>
        <v>-605.20950600000003</v>
      </c>
      <c r="J97" s="36">
        <f>-761871850/1000000</f>
        <v>-761.87184999999999</v>
      </c>
      <c r="K97" s="3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21" t="s">
        <v>18</v>
      </c>
      <c r="B98" s="6">
        <v>0</v>
      </c>
      <c r="C98" s="6">
        <v>-903.51035400000001</v>
      </c>
      <c r="D98" s="6">
        <v>171.28727900000001</v>
      </c>
      <c r="E98" s="6">
        <v>-49.750163000000001</v>
      </c>
      <c r="F98" s="6">
        <v>-94.641920999999996</v>
      </c>
      <c r="G98" s="6">
        <v>62.914000000000001</v>
      </c>
      <c r="H98" s="6">
        <v>-138.74199999999999</v>
      </c>
      <c r="I98" s="22">
        <f>-19199975/1000000</f>
        <v>-19.199974999999998</v>
      </c>
      <c r="J98" s="36">
        <f>181188954/1000000</f>
        <v>181.188954</v>
      </c>
      <c r="K98" s="3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21" t="s">
        <v>78</v>
      </c>
      <c r="B99" s="6">
        <v>2056.5671040000002</v>
      </c>
      <c r="C99" s="6">
        <v>-3663.3785400000002</v>
      </c>
      <c r="D99" s="6">
        <v>-536.71535300000005</v>
      </c>
      <c r="E99" s="6">
        <v>-1547.8721029999999</v>
      </c>
      <c r="F99" s="6">
        <v>725.03911900000003</v>
      </c>
      <c r="G99" s="6">
        <v>-4625.1109999999999</v>
      </c>
      <c r="H99" s="6">
        <v>-176.846</v>
      </c>
      <c r="I99" s="22">
        <f>-2524528199/1000000</f>
        <v>-2524.5281989999999</v>
      </c>
      <c r="J99" s="36">
        <f>-845465502/1000000</f>
        <v>-845.46550200000001</v>
      </c>
      <c r="K99" s="3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21" t="s">
        <v>21</v>
      </c>
      <c r="B100" s="6">
        <v>0</v>
      </c>
      <c r="C100" s="6">
        <v>-37.478189</v>
      </c>
      <c r="D100" s="6">
        <v>6.0490539999999999</v>
      </c>
      <c r="E100" s="6">
        <v>-3.3886470000000002</v>
      </c>
      <c r="F100" s="6">
        <v>12.093909999999999</v>
      </c>
      <c r="G100" s="6">
        <v>-20.13</v>
      </c>
      <c r="H100" s="6">
        <v>9.4730000000000008</v>
      </c>
      <c r="I100" s="22">
        <f>-32346274/1000000</f>
        <v>-32.346274000000001</v>
      </c>
      <c r="J100" s="36">
        <f>65726630/1000000</f>
        <v>65.72663</v>
      </c>
      <c r="K100" s="3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21" t="s">
        <v>22</v>
      </c>
      <c r="B101" s="6">
        <v>144.222116</v>
      </c>
      <c r="C101" s="6">
        <v>24.566061000000001</v>
      </c>
      <c r="D101" s="6">
        <v>1.07667</v>
      </c>
      <c r="E101" s="6">
        <v>-225.333538</v>
      </c>
      <c r="F101" s="6">
        <v>-32.640321</v>
      </c>
      <c r="G101" s="6">
        <v>-41.598999999999997</v>
      </c>
      <c r="H101" s="6">
        <v>-347.65</v>
      </c>
      <c r="I101" s="22">
        <f>335800702/1000000</f>
        <v>335.800702</v>
      </c>
      <c r="J101" s="36">
        <f>-100364196 /1000000</f>
        <v>-100.36419600000001</v>
      </c>
      <c r="K101" s="3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21" t="s">
        <v>33</v>
      </c>
      <c r="B102" s="6">
        <v>5.1764979999999996</v>
      </c>
      <c r="C102" s="6">
        <v>-78.780545000000004</v>
      </c>
      <c r="D102" s="6">
        <v>98.540099999999995</v>
      </c>
      <c r="E102" s="6">
        <v>-6.5932240000000002</v>
      </c>
      <c r="F102" s="6">
        <v>-2.490059</v>
      </c>
      <c r="G102" s="6">
        <f>-32.551</f>
        <v>-32.551000000000002</v>
      </c>
      <c r="H102" s="6">
        <f>2.684</f>
        <v>2.6840000000000002</v>
      </c>
      <c r="I102" s="22">
        <f>-43657035/1000000</f>
        <v>-43.657035</v>
      </c>
      <c r="J102" s="36">
        <f>3687727 /1000000</f>
        <v>3.6877270000000002</v>
      </c>
      <c r="K102" s="3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 t="s">
        <v>79</v>
      </c>
      <c r="B103" s="6"/>
      <c r="C103" s="6"/>
      <c r="D103" s="6"/>
      <c r="E103" s="6"/>
      <c r="F103" s="5"/>
      <c r="G103" s="6"/>
      <c r="H103" s="6"/>
      <c r="I103" s="22"/>
      <c r="J103" s="36"/>
      <c r="K103" s="3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21" t="s">
        <v>37</v>
      </c>
      <c r="B104" s="6">
        <v>-1135.882333</v>
      </c>
      <c r="C104" s="6">
        <v>4008.7378910000002</v>
      </c>
      <c r="D104" s="6">
        <v>-404.64224300000001</v>
      </c>
      <c r="E104" s="6">
        <v>807.94333300000005</v>
      </c>
      <c r="F104" s="6">
        <v>353.22655099999997</v>
      </c>
      <c r="G104" s="6">
        <f>1954.46</f>
        <v>1954.46</v>
      </c>
      <c r="H104" s="6">
        <f>-23.411</f>
        <v>-23.411000000000001</v>
      </c>
      <c r="I104" s="22">
        <f>2955682590/1000000</f>
        <v>2955.6825899999999</v>
      </c>
      <c r="J104" s="36">
        <f>-608579869/1000000</f>
        <v>-608.57986900000003</v>
      </c>
      <c r="K104" s="3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21" t="s">
        <v>39</v>
      </c>
      <c r="B105" s="6">
        <v>0</v>
      </c>
      <c r="C105" s="6">
        <v>500.52272399999998</v>
      </c>
      <c r="D105" s="6">
        <v>-1378.2954609999999</v>
      </c>
      <c r="E105" s="6">
        <v>-20.959271999999999</v>
      </c>
      <c r="F105" s="6">
        <v>-68.179742000000005</v>
      </c>
      <c r="G105" s="6">
        <v>-11.233000000000001</v>
      </c>
      <c r="H105" s="6">
        <v>9.125</v>
      </c>
      <c r="I105" s="22">
        <f>88515508/1000000</f>
        <v>88.515507999999997</v>
      </c>
      <c r="J105" s="36">
        <f>-1151548802 /1000000</f>
        <v>-1151.548802</v>
      </c>
      <c r="K105" s="3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21" t="s">
        <v>80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99.522000000000006</v>
      </c>
      <c r="H106" s="6">
        <v>0</v>
      </c>
      <c r="I106" s="22">
        <v>0</v>
      </c>
      <c r="J106" s="36">
        <v>0</v>
      </c>
      <c r="K106" s="3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21" t="s">
        <v>81</v>
      </c>
      <c r="B107" s="6">
        <v>-64.936440000000005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14">
        <v>0</v>
      </c>
      <c r="I107" s="22">
        <v>0</v>
      </c>
      <c r="J107" s="36">
        <v>0</v>
      </c>
      <c r="K107" s="3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 t="s">
        <v>82</v>
      </c>
      <c r="B108" s="6">
        <v>7.0194299999999998</v>
      </c>
      <c r="C108" s="6">
        <v>1.5474650000000001</v>
      </c>
      <c r="D108" s="6">
        <v>-65.863032000000004</v>
      </c>
      <c r="E108" s="6">
        <v>0</v>
      </c>
      <c r="F108" s="6">
        <v>0</v>
      </c>
      <c r="G108" s="6">
        <v>20.504999999999999</v>
      </c>
      <c r="H108" s="6">
        <v>-17.073</v>
      </c>
      <c r="I108" s="22">
        <v>0</v>
      </c>
      <c r="J108" s="36">
        <v>0</v>
      </c>
      <c r="K108" s="3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25" t="s">
        <v>83</v>
      </c>
      <c r="B109" s="26">
        <f t="shared" ref="B109:I109" si="19">SUM(B95:B108)</f>
        <v>1214.5842580000001</v>
      </c>
      <c r="C109" s="26">
        <f t="shared" si="19"/>
        <v>827.37711199999956</v>
      </c>
      <c r="D109" s="26">
        <f t="shared" si="19"/>
        <v>110.09021600000094</v>
      </c>
      <c r="E109" s="26">
        <f t="shared" si="19"/>
        <v>2675.6928419999999</v>
      </c>
      <c r="F109" s="26">
        <f t="shared" si="19"/>
        <v>3271.0044030000004</v>
      </c>
      <c r="G109" s="26">
        <f t="shared" si="19"/>
        <v>304.42400000000123</v>
      </c>
      <c r="H109" s="26">
        <f t="shared" si="19"/>
        <v>4695.8379999999988</v>
      </c>
      <c r="I109" s="26">
        <f t="shared" si="19"/>
        <v>6659.9308109999993</v>
      </c>
      <c r="J109" s="26">
        <f t="shared" ref="J109" si="20">SUM(J95:J108)</f>
        <v>3882.8110920000008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 t="s">
        <v>84</v>
      </c>
      <c r="B110" s="6">
        <v>-8.4271729999999998</v>
      </c>
      <c r="C110" s="6">
        <v>-30.554622999999999</v>
      </c>
      <c r="D110" s="6">
        <v>-30.621903</v>
      </c>
      <c r="E110" s="6">
        <v>-41.368896999999997</v>
      </c>
      <c r="F110" s="6">
        <v>-44.283861000000002</v>
      </c>
      <c r="G110" s="6">
        <v>-48.613</v>
      </c>
      <c r="H110" s="6">
        <v>-48.613</v>
      </c>
      <c r="I110" s="22">
        <f>-48612624/1000000</f>
        <v>-48.612623999999997</v>
      </c>
      <c r="J110" s="22">
        <f>-177559032/1000000</f>
        <v>-177.559032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 t="s">
        <v>85</v>
      </c>
      <c r="B111" s="6">
        <v>-221.08045899999999</v>
      </c>
      <c r="C111" s="6">
        <v>-534.69779300000005</v>
      </c>
      <c r="D111" s="6">
        <v>-783.03312800000003</v>
      </c>
      <c r="E111" s="6">
        <v>-924.30200500000001</v>
      </c>
      <c r="F111" s="6">
        <v>-1019.115869</v>
      </c>
      <c r="G111" s="6">
        <v>-681.33900000000006</v>
      </c>
      <c r="H111" s="6">
        <v>-974.19</v>
      </c>
      <c r="I111" s="22">
        <f>-1468959658/1000000</f>
        <v>-1468.959658</v>
      </c>
      <c r="J111" s="22">
        <f>-834178324/1000000</f>
        <v>-834.17832399999998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 t="s">
        <v>86</v>
      </c>
      <c r="B112" s="6">
        <v>0</v>
      </c>
      <c r="C112" s="6">
        <v>0</v>
      </c>
      <c r="D112" s="6">
        <v>6.0570199999999996</v>
      </c>
      <c r="E112" s="6">
        <v>5.2489049999999997</v>
      </c>
      <c r="F112" s="6">
        <v>4.3319999999999999</v>
      </c>
      <c r="G112" s="6">
        <f>7.095</f>
        <v>7.0949999999999998</v>
      </c>
      <c r="H112" s="6">
        <v>7.7320000000000002</v>
      </c>
      <c r="I112" s="22">
        <f>35136001/1000000</f>
        <v>35.136001</v>
      </c>
      <c r="J112" s="22">
        <f>6347815/1000000</f>
        <v>6.3478149999999998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4" t="s">
        <v>87</v>
      </c>
      <c r="B113" s="8">
        <f t="shared" ref="B113:I113" si="21">SUM(B109:B112)</f>
        <v>985.07662600000003</v>
      </c>
      <c r="C113" s="8">
        <f t="shared" si="21"/>
        <v>262.12469599999952</v>
      </c>
      <c r="D113" s="8">
        <f t="shared" si="21"/>
        <v>-697.50779499999908</v>
      </c>
      <c r="E113" s="8">
        <f t="shared" si="21"/>
        <v>1715.270845</v>
      </c>
      <c r="F113" s="8">
        <f t="shared" si="21"/>
        <v>2211.9366730000006</v>
      </c>
      <c r="G113" s="8">
        <f t="shared" si="21"/>
        <v>-418.4329999999988</v>
      </c>
      <c r="H113" s="8">
        <f t="shared" si="21"/>
        <v>3680.7669999999985</v>
      </c>
      <c r="I113" s="8">
        <f t="shared" si="21"/>
        <v>5177.494529999999</v>
      </c>
      <c r="J113" s="8">
        <f t="shared" ref="J113" si="22">SUM(J109:J112)</f>
        <v>2877.4215510000008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6"/>
      <c r="C114" s="27"/>
      <c r="D114" s="18"/>
      <c r="E114" s="18"/>
      <c r="F114" s="5"/>
      <c r="G114" s="5"/>
      <c r="H114" s="5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2" t="s">
        <v>88</v>
      </c>
      <c r="B115" s="8"/>
      <c r="C115" s="8"/>
      <c r="D115" s="8"/>
      <c r="E115" s="8"/>
      <c r="F115" s="5"/>
      <c r="G115" s="5"/>
      <c r="H115" s="5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 t="s">
        <v>89</v>
      </c>
      <c r="B116" s="6">
        <v>-341.80909100000002</v>
      </c>
      <c r="C116" s="6">
        <v>-539.73645999999997</v>
      </c>
      <c r="D116" s="6">
        <v>-1067.965095</v>
      </c>
      <c r="E116" s="6">
        <v>-1558.923826</v>
      </c>
      <c r="F116" s="6">
        <v>-1531.804883</v>
      </c>
      <c r="G116" s="6">
        <v>-1307.7080000000001</v>
      </c>
      <c r="H116" s="6">
        <v>-1774</v>
      </c>
      <c r="I116" s="22">
        <f>-1736384126/1000000</f>
        <v>-1736.3841259999999</v>
      </c>
      <c r="J116" s="22">
        <f>-2139292490/1000000</f>
        <v>-2139.2924899999998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 t="s">
        <v>90</v>
      </c>
      <c r="B117" s="6">
        <v>79.701949999999997</v>
      </c>
      <c r="C117" s="6">
        <v>4.8868</v>
      </c>
      <c r="D117" s="6">
        <v>364.47812800000003</v>
      </c>
      <c r="E117" s="6">
        <v>357.93143400000002</v>
      </c>
      <c r="F117" s="6">
        <v>18.847518000000001</v>
      </c>
      <c r="G117" s="6">
        <v>77.959000000000003</v>
      </c>
      <c r="H117" s="6">
        <v>4.25</v>
      </c>
      <c r="I117" s="22">
        <f>2503626/1000000</f>
        <v>2.5036260000000001</v>
      </c>
      <c r="J117" s="22">
        <f>4166460/1000000</f>
        <v>4.1664599999999998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 t="s">
        <v>91</v>
      </c>
      <c r="B118" s="6">
        <v>0</v>
      </c>
      <c r="C118" s="6">
        <v>-182.83182400000001</v>
      </c>
      <c r="D118" s="6">
        <v>151.41</v>
      </c>
      <c r="E118" s="6">
        <v>14.3</v>
      </c>
      <c r="F118" s="6">
        <v>12.79</v>
      </c>
      <c r="G118" s="6">
        <v>0</v>
      </c>
      <c r="H118" s="6">
        <v>0</v>
      </c>
      <c r="I118" s="22">
        <v>0</v>
      </c>
      <c r="J118" s="22"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 t="s">
        <v>92</v>
      </c>
      <c r="B119" s="6">
        <v>0</v>
      </c>
      <c r="C119" s="6">
        <v>0</v>
      </c>
      <c r="D119" s="6">
        <v>0</v>
      </c>
      <c r="E119" s="6">
        <v>-61.474787999999997</v>
      </c>
      <c r="F119" s="6">
        <v>-537.89599999999996</v>
      </c>
      <c r="G119" s="6">
        <v>0</v>
      </c>
      <c r="H119" s="6">
        <v>0</v>
      </c>
      <c r="I119" s="22">
        <v>0</v>
      </c>
      <c r="J119" s="22"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 t="s">
        <v>93</v>
      </c>
      <c r="B120" s="6">
        <v>0</v>
      </c>
      <c r="C120" s="6">
        <v>0</v>
      </c>
      <c r="D120" s="6">
        <v>-3371.395587</v>
      </c>
      <c r="E120" s="6">
        <f>-11.17677</f>
        <v>-11.176769999999999</v>
      </c>
      <c r="F120" s="28" t="s">
        <v>94</v>
      </c>
      <c r="G120" s="6">
        <v>0</v>
      </c>
      <c r="H120" s="6">
        <v>0</v>
      </c>
      <c r="I120" s="22">
        <v>0</v>
      </c>
      <c r="J120" s="22">
        <f>247032463/1000000</f>
        <v>247.03246300000001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 t="s">
        <v>95</v>
      </c>
      <c r="B121" s="6">
        <v>10.233586000000001</v>
      </c>
      <c r="C121" s="6">
        <v>11.330709000000001</v>
      </c>
      <c r="D121" s="6">
        <v>2.8257590000000001</v>
      </c>
      <c r="E121" s="6">
        <v>0.60519400000000001</v>
      </c>
      <c r="F121" s="7">
        <v>0.09</v>
      </c>
      <c r="G121" s="6">
        <v>0</v>
      </c>
      <c r="H121" s="6">
        <v>0</v>
      </c>
      <c r="I121" s="22">
        <v>0</v>
      </c>
      <c r="J121" s="22"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2" t="s">
        <v>96</v>
      </c>
      <c r="B122" s="8">
        <f t="shared" ref="B122:I122" si="23">SUM(B116:B121)</f>
        <v>-251.87355500000001</v>
      </c>
      <c r="C122" s="8">
        <f t="shared" si="23"/>
        <v>-706.350775</v>
      </c>
      <c r="D122" s="8">
        <f t="shared" si="23"/>
        <v>-3920.6467950000001</v>
      </c>
      <c r="E122" s="8">
        <f t="shared" si="23"/>
        <v>-1258.738756</v>
      </c>
      <c r="F122" s="8">
        <f t="shared" si="23"/>
        <v>-2037.9733650000001</v>
      </c>
      <c r="G122" s="8">
        <f t="shared" si="23"/>
        <v>-1229.749</v>
      </c>
      <c r="H122" s="8">
        <f t="shared" si="23"/>
        <v>-1769.75</v>
      </c>
      <c r="I122" s="8">
        <f t="shared" si="23"/>
        <v>-1733.8805</v>
      </c>
      <c r="J122" s="8">
        <f t="shared" ref="J122" si="24">SUM(J116:J121)</f>
        <v>-1888.0935669999999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6"/>
      <c r="C123" s="6"/>
      <c r="D123" s="6"/>
      <c r="E123" s="6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2" t="s">
        <v>97</v>
      </c>
      <c r="B124" s="8"/>
      <c r="C124" s="8"/>
      <c r="D124" s="8"/>
      <c r="E124" s="8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 t="s">
        <v>98</v>
      </c>
      <c r="B125" s="6">
        <v>0</v>
      </c>
      <c r="C125" s="6">
        <v>3500.3590140000001</v>
      </c>
      <c r="D125" s="6">
        <v>2272.3133579999999</v>
      </c>
      <c r="E125" s="6">
        <v>0</v>
      </c>
      <c r="F125" s="6">
        <v>17.33877</v>
      </c>
      <c r="G125" s="6">
        <v>0</v>
      </c>
      <c r="H125" s="6">
        <v>0</v>
      </c>
      <c r="I125" s="22">
        <v>0</v>
      </c>
      <c r="J125" s="22"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 t="s">
        <v>99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22">
        <v>0</v>
      </c>
      <c r="J126" s="22"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 t="s">
        <v>100</v>
      </c>
      <c r="B127" s="6">
        <v>-555.84713899999997</v>
      </c>
      <c r="C127" s="6">
        <v>-2214.6000020000001</v>
      </c>
      <c r="D127" s="6">
        <v>2250</v>
      </c>
      <c r="E127" s="6">
        <f>1544-1490</f>
        <v>54</v>
      </c>
      <c r="F127" s="5">
        <f>2665-1261</f>
        <v>1404</v>
      </c>
      <c r="G127" s="6">
        <f>4050-1445.5</f>
        <v>2604.5</v>
      </c>
      <c r="H127" s="6">
        <f>4986-5778.491</f>
        <v>-792.49099999999999</v>
      </c>
      <c r="I127" s="22">
        <f>(5551000000-7537541907)/1000000</f>
        <v>-1986.541907</v>
      </c>
      <c r="J127" s="22">
        <f>(7791891353-6533466680)/1000000</f>
        <v>1258.424673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 t="s">
        <v>101</v>
      </c>
      <c r="B128" s="6">
        <v>-112.45020599999999</v>
      </c>
      <c r="C128" s="6">
        <v>-15.287944</v>
      </c>
      <c r="D128" s="6">
        <v>0</v>
      </c>
      <c r="E128" s="6">
        <v>-64.932232999999997</v>
      </c>
      <c r="F128" s="6">
        <v>-104.76811499999999</v>
      </c>
      <c r="G128" s="6">
        <v>-190.803</v>
      </c>
      <c r="H128" s="6">
        <f>-363.635</f>
        <v>-363.63499999999999</v>
      </c>
      <c r="I128" s="22">
        <f>-264635783/1000000</f>
        <v>-264.635783</v>
      </c>
      <c r="J128" s="22">
        <f>-149285666/1000000</f>
        <v>-149.28566599999999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 t="s">
        <v>102</v>
      </c>
      <c r="B129" s="6"/>
      <c r="C129" s="6">
        <v>0</v>
      </c>
      <c r="D129" s="6">
        <v>-446.20432099999999</v>
      </c>
      <c r="E129" s="6">
        <v>-472.13719300000002</v>
      </c>
      <c r="F129" s="6">
        <v>-637.60654699999998</v>
      </c>
      <c r="G129" s="6">
        <v>-637.60699999999997</v>
      </c>
      <c r="H129" s="6">
        <v>-637.60699999999997</v>
      </c>
      <c r="I129" s="22">
        <f>-1275213094/1000000</f>
        <v>-1275.213094</v>
      </c>
      <c r="J129" s="22">
        <f>-1275213094/1000000</f>
        <v>-1275.213094</v>
      </c>
      <c r="K129" s="1"/>
      <c r="L129" s="1"/>
      <c r="M129" s="1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 t="s">
        <v>103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-185.75399999999999</v>
      </c>
      <c r="I130" s="22">
        <f>-295688307/1000000</f>
        <v>-295.68830700000001</v>
      </c>
      <c r="J130" s="22">
        <f>-324325639/1000000</f>
        <v>-324.32563900000002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4" t="s">
        <v>104</v>
      </c>
      <c r="B131" s="8">
        <f t="shared" ref="B131:I131" si="25">SUM(B125:B130)</f>
        <v>-668.29734499999995</v>
      </c>
      <c r="C131" s="8">
        <f t="shared" si="25"/>
        <v>1270.4710680000001</v>
      </c>
      <c r="D131" s="8">
        <f t="shared" si="25"/>
        <v>4076.1090369999993</v>
      </c>
      <c r="E131" s="8">
        <f t="shared" si="25"/>
        <v>-483.06942600000002</v>
      </c>
      <c r="F131" s="8">
        <f t="shared" si="25"/>
        <v>678.96410800000001</v>
      </c>
      <c r="G131" s="8">
        <f t="shared" si="25"/>
        <v>1776.0900000000001</v>
      </c>
      <c r="H131" s="8">
        <f t="shared" si="25"/>
        <v>-1979.4869999999999</v>
      </c>
      <c r="I131" s="8">
        <f t="shared" si="25"/>
        <v>-3822.0790910000001</v>
      </c>
      <c r="J131" s="8">
        <f t="shared" ref="J131" si="26">SUM(J125:J130)</f>
        <v>-490.39972599999999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6"/>
      <c r="C132" s="6"/>
      <c r="D132" s="6"/>
      <c r="E132" s="6"/>
      <c r="F132" s="5"/>
      <c r="G132" s="5"/>
      <c r="H132" s="5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4" t="s">
        <v>105</v>
      </c>
      <c r="B133" s="8">
        <f t="shared" ref="B133:I133" si="27">B113+B122+B131</f>
        <v>64.905726000000072</v>
      </c>
      <c r="C133" s="8">
        <f t="shared" si="27"/>
        <v>826.24498899999958</v>
      </c>
      <c r="D133" s="8">
        <f t="shared" si="27"/>
        <v>-542.04555299999993</v>
      </c>
      <c r="E133" s="8">
        <f t="shared" si="27"/>
        <v>-26.53733699999998</v>
      </c>
      <c r="F133" s="8">
        <f t="shared" si="27"/>
        <v>852.92741600000056</v>
      </c>
      <c r="G133" s="8">
        <f t="shared" si="27"/>
        <v>127.90800000000127</v>
      </c>
      <c r="H133" s="8">
        <f t="shared" si="27"/>
        <v>-68.470000000001392</v>
      </c>
      <c r="I133" s="8">
        <f t="shared" si="27"/>
        <v>-378.46506100000124</v>
      </c>
      <c r="J133" s="8">
        <f t="shared" ref="J133" si="28">J113+J122+J131</f>
        <v>498.92825800000094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 t="s">
        <v>106</v>
      </c>
      <c r="B134" s="6">
        <v>739.48900700000002</v>
      </c>
      <c r="C134" s="6">
        <v>437.96490699999998</v>
      </c>
      <c r="D134" s="6">
        <f t="shared" ref="D134:J134" si="29">C135</f>
        <v>1264.2098959999996</v>
      </c>
      <c r="E134" s="6">
        <f t="shared" si="29"/>
        <v>722.16434299999969</v>
      </c>
      <c r="F134" s="6">
        <f t="shared" si="29"/>
        <v>695.62700599999971</v>
      </c>
      <c r="G134" s="6">
        <f t="shared" si="29"/>
        <v>1548.5544220000002</v>
      </c>
      <c r="H134" s="6">
        <f t="shared" si="29"/>
        <v>1676.4624220000014</v>
      </c>
      <c r="I134" s="22">
        <f t="shared" si="29"/>
        <v>1607.992422</v>
      </c>
      <c r="J134" s="22">
        <f t="shared" si="29"/>
        <v>1229.5273609999988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2" t="s">
        <v>107</v>
      </c>
      <c r="B135" s="8">
        <f t="shared" ref="B135:I135" si="30">SUM(B133:B134)</f>
        <v>804.39473300000009</v>
      </c>
      <c r="C135" s="8">
        <f t="shared" si="30"/>
        <v>1264.2098959999996</v>
      </c>
      <c r="D135" s="8">
        <f t="shared" si="30"/>
        <v>722.16434299999969</v>
      </c>
      <c r="E135" s="8">
        <f t="shared" si="30"/>
        <v>695.62700599999971</v>
      </c>
      <c r="F135" s="8">
        <f t="shared" si="30"/>
        <v>1548.5544220000002</v>
      </c>
      <c r="G135" s="8">
        <f t="shared" si="30"/>
        <v>1676.4624220000014</v>
      </c>
      <c r="H135" s="8">
        <f t="shared" si="30"/>
        <v>1607.992422</v>
      </c>
      <c r="I135" s="8">
        <f t="shared" si="30"/>
        <v>1229.5273609999988</v>
      </c>
      <c r="J135" s="8">
        <f t="shared" ref="J135" si="31">SUM(J133:J134)</f>
        <v>1728.4556189999998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29"/>
      <c r="C136" s="29"/>
      <c r="D136" s="29"/>
      <c r="E136" s="29"/>
      <c r="F136" s="1"/>
      <c r="G136" s="1"/>
      <c r="H136" s="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 t="s">
        <v>108</v>
      </c>
      <c r="B137" s="29">
        <f t="shared" ref="B137:J137" si="32">SUM(B113,B116)</f>
        <v>643.26753499999995</v>
      </c>
      <c r="C137" s="29">
        <f t="shared" si="32"/>
        <v>-277.61176400000045</v>
      </c>
      <c r="D137" s="29">
        <f t="shared" si="32"/>
        <v>-1765.4728899999991</v>
      </c>
      <c r="E137" s="29">
        <f t="shared" si="32"/>
        <v>156.34701900000005</v>
      </c>
      <c r="F137" s="29">
        <f t="shared" si="32"/>
        <v>680.13179000000059</v>
      </c>
      <c r="G137" s="29">
        <f t="shared" si="32"/>
        <v>-1726.1409999999989</v>
      </c>
      <c r="H137" s="29">
        <f t="shared" si="32"/>
        <v>1906.7669999999985</v>
      </c>
      <c r="I137" s="29">
        <f t="shared" si="32"/>
        <v>3441.1104039999991</v>
      </c>
      <c r="J137" s="29">
        <f t="shared" si="32"/>
        <v>738.129061000001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29"/>
      <c r="C138" s="29"/>
      <c r="D138" s="29"/>
      <c r="E138" s="29"/>
      <c r="F138" s="29"/>
      <c r="G138" s="29"/>
      <c r="H138" s="2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1" t="s">
        <v>109</v>
      </c>
      <c r="B139" s="1"/>
      <c r="C139" s="1"/>
      <c r="D139" s="1"/>
      <c r="E139" s="1"/>
      <c r="F139" s="1"/>
      <c r="G139" s="3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Jenifer Mae S. Tecson</cp:lastModifiedBy>
  <dcterms:modified xsi:type="dcterms:W3CDTF">2022-08-31T09:15:47Z</dcterms:modified>
</cp:coreProperties>
</file>