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leighraymundo/Desktop/Century Pacific Group/Work/CNPF/3Q/"/>
    </mc:Choice>
  </mc:AlternateContent>
  <bookViews>
    <workbookView xWindow="0" yWindow="0" windowWidth="13620" windowHeight="15360"/>
  </bookViews>
  <sheets>
    <sheet name="Sheet1" sheetId="1" r:id="rId1"/>
  </sheets>
  <calcPr calcId="150001" calcMode="autoNoTable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83" i="1"/>
  <c r="H93" i="1"/>
  <c r="H100" i="1"/>
  <c r="H102" i="1"/>
  <c r="H107" i="1"/>
  <c r="H111" i="1"/>
  <c r="H135" i="1"/>
  <c r="G79" i="1"/>
  <c r="G80" i="1"/>
  <c r="G82" i="1"/>
  <c r="G83" i="1"/>
  <c r="G93" i="1"/>
  <c r="G100" i="1"/>
  <c r="G102" i="1"/>
  <c r="G107" i="1"/>
  <c r="G110" i="1"/>
  <c r="G111" i="1"/>
  <c r="G135" i="1"/>
  <c r="C93" i="1"/>
  <c r="C107" i="1"/>
  <c r="C111" i="1"/>
  <c r="C135" i="1"/>
  <c r="D79" i="1"/>
  <c r="D82" i="1"/>
  <c r="D93" i="1"/>
  <c r="D107" i="1"/>
  <c r="D111" i="1"/>
  <c r="D135" i="1"/>
  <c r="E80" i="1"/>
  <c r="E82" i="1"/>
  <c r="E83" i="1"/>
  <c r="E93" i="1"/>
  <c r="E107" i="1"/>
  <c r="E111" i="1"/>
  <c r="E135" i="1"/>
  <c r="F79" i="1"/>
  <c r="F80" i="1"/>
  <c r="F81" i="1"/>
  <c r="F82" i="1"/>
  <c r="F83" i="1"/>
  <c r="F93" i="1"/>
  <c r="F107" i="1"/>
  <c r="F111" i="1"/>
  <c r="F135" i="1"/>
  <c r="B93" i="1"/>
  <c r="B107" i="1"/>
  <c r="B111" i="1"/>
  <c r="B135" i="1"/>
  <c r="H42" i="1"/>
  <c r="G43" i="1"/>
  <c r="H11" i="1"/>
  <c r="C52" i="1"/>
  <c r="D52" i="1"/>
  <c r="E52" i="1"/>
  <c r="F52" i="1"/>
  <c r="G52" i="1"/>
  <c r="H48" i="1"/>
  <c r="H52" i="1"/>
  <c r="B52" i="1"/>
  <c r="C129" i="1"/>
  <c r="D129" i="1"/>
  <c r="E125" i="1"/>
  <c r="E129" i="1"/>
  <c r="F125" i="1"/>
  <c r="F129" i="1"/>
  <c r="G125" i="1"/>
  <c r="G129" i="1"/>
  <c r="H125" i="1"/>
  <c r="H126" i="1"/>
  <c r="H129" i="1"/>
  <c r="B129" i="1"/>
  <c r="H57" i="1"/>
  <c r="G54" i="1"/>
  <c r="H54" i="1"/>
  <c r="H120" i="1"/>
  <c r="G120" i="1"/>
  <c r="G66" i="1"/>
  <c r="H66" i="1"/>
  <c r="G58" i="1"/>
  <c r="H58" i="1"/>
  <c r="H43" i="1"/>
  <c r="H32" i="1"/>
  <c r="G32" i="1"/>
  <c r="G11" i="1"/>
  <c r="G16" i="1"/>
  <c r="G18" i="1"/>
  <c r="H16" i="1"/>
  <c r="H18" i="1"/>
  <c r="H131" i="1"/>
  <c r="G131" i="1"/>
  <c r="G45" i="1"/>
  <c r="H45" i="1"/>
  <c r="H68" i="1"/>
  <c r="G68" i="1"/>
  <c r="E43" i="1"/>
  <c r="F120" i="1"/>
  <c r="F66" i="1"/>
  <c r="F58" i="1"/>
  <c r="F43" i="1"/>
  <c r="B32" i="1"/>
  <c r="C32" i="1"/>
  <c r="D32" i="1"/>
  <c r="E32" i="1"/>
  <c r="F32" i="1"/>
  <c r="F11" i="1"/>
  <c r="F16" i="1"/>
  <c r="F18" i="1"/>
  <c r="F68" i="1"/>
  <c r="F45" i="1"/>
  <c r="D120" i="1"/>
  <c r="D58" i="1"/>
  <c r="E58" i="1"/>
  <c r="D43" i="1"/>
  <c r="D45" i="1"/>
  <c r="B120" i="1"/>
  <c r="C120" i="1"/>
  <c r="E118" i="1"/>
  <c r="E120" i="1"/>
  <c r="E66" i="1"/>
  <c r="D66" i="1"/>
  <c r="C66" i="1"/>
  <c r="B66" i="1"/>
  <c r="C58" i="1"/>
  <c r="B58" i="1"/>
  <c r="C43" i="1"/>
  <c r="B43" i="1"/>
  <c r="B45" i="1"/>
  <c r="E11" i="1"/>
  <c r="E16" i="1"/>
  <c r="E18" i="1"/>
  <c r="D11" i="1"/>
  <c r="D16" i="1"/>
  <c r="D18" i="1"/>
  <c r="C11" i="1"/>
  <c r="C16" i="1"/>
  <c r="C18" i="1"/>
  <c r="B11" i="1"/>
  <c r="B16" i="1"/>
  <c r="B18" i="1"/>
  <c r="F131" i="1"/>
  <c r="C45" i="1"/>
  <c r="E45" i="1"/>
  <c r="C131" i="1"/>
  <c r="E131" i="1"/>
  <c r="B131" i="1"/>
  <c r="B133" i="1"/>
  <c r="D68" i="1"/>
  <c r="E68" i="1"/>
  <c r="B68" i="1"/>
  <c r="C68" i="1"/>
  <c r="D131" i="1"/>
  <c r="C133" i="1"/>
  <c r="D132" i="1"/>
  <c r="D133" i="1"/>
  <c r="E132" i="1"/>
  <c r="E133" i="1"/>
  <c r="F132" i="1"/>
  <c r="F133" i="1"/>
  <c r="G132" i="1"/>
  <c r="G133" i="1"/>
  <c r="H132" i="1"/>
  <c r="H133" i="1"/>
</calcChain>
</file>

<file path=xl/sharedStrings.xml><?xml version="1.0" encoding="utf-8"?>
<sst xmlns="http://schemas.openxmlformats.org/spreadsheetml/2006/main" count="117" uniqueCount="109">
  <si>
    <t>CENTURY PACIFIC FOOD INC</t>
  </si>
  <si>
    <t>PHP millions</t>
  </si>
  <si>
    <t>Net revenues</t>
  </si>
  <si>
    <t>Cost of goods sold</t>
  </si>
  <si>
    <t>Gross profit</t>
  </si>
  <si>
    <t>Operating expenses</t>
  </si>
  <si>
    <t>Other income</t>
  </si>
  <si>
    <t>Other expenses</t>
  </si>
  <si>
    <t>Interest income</t>
  </si>
  <si>
    <t>Finance costs</t>
  </si>
  <si>
    <t>Income before income tax</t>
  </si>
  <si>
    <t>Net income</t>
  </si>
  <si>
    <t>PROFIT AND LOSS STATEMENT</t>
  </si>
  <si>
    <t>BALANCE SHEET</t>
  </si>
  <si>
    <t>Cash and cash equivalents</t>
  </si>
  <si>
    <t>Trade and other receivables - net</t>
  </si>
  <si>
    <t>Due from related parties</t>
  </si>
  <si>
    <t>Inventories - net</t>
  </si>
  <si>
    <t>Biological assets</t>
  </si>
  <si>
    <t>Prepayments and other current assets - net</t>
  </si>
  <si>
    <t>Total current assets</t>
  </si>
  <si>
    <t>Trademarks</t>
  </si>
  <si>
    <t>Goodwill</t>
  </si>
  <si>
    <t>Retirement benefit asset</t>
  </si>
  <si>
    <t>Deferred tax asset</t>
  </si>
  <si>
    <t>Other noncurrent assets</t>
  </si>
  <si>
    <t>Total noncurrent assets</t>
  </si>
  <si>
    <t>TOTAL ASSETS</t>
  </si>
  <si>
    <t>Trade and other payables</t>
  </si>
  <si>
    <t>Income tax payable</t>
  </si>
  <si>
    <t>Due to related parties</t>
  </si>
  <si>
    <t>Total current liabilities</t>
  </si>
  <si>
    <t>Long-term debt</t>
  </si>
  <si>
    <t>Retirement benefit obligation</t>
  </si>
  <si>
    <t>Deferred tax liability</t>
  </si>
  <si>
    <t>Total noncurrent liabilities</t>
  </si>
  <si>
    <t>Share capital</t>
  </si>
  <si>
    <t>Share premium</t>
  </si>
  <si>
    <t>Share-based compensation reserve</t>
  </si>
  <si>
    <t>Other reserves</t>
  </si>
  <si>
    <t>Currency translation adjustment</t>
  </si>
  <si>
    <t>Retained earnings (deficit)</t>
  </si>
  <si>
    <t>Total equity</t>
  </si>
  <si>
    <t>TOTAL LIABILITIES AND SHAREHOLDERS' EQUITY</t>
  </si>
  <si>
    <t>STATEMENT OF CASH FLOWS</t>
  </si>
  <si>
    <t>Cash flows from operating activities</t>
  </si>
  <si>
    <t>Adjustments for:</t>
  </si>
  <si>
    <t>Depreciation</t>
  </si>
  <si>
    <t>Doubtful accounts expense/ provisions</t>
  </si>
  <si>
    <t>Reversal of impairment/writeoff of accruals</t>
  </si>
  <si>
    <t>Loss on inventory obsolescence</t>
  </si>
  <si>
    <t>Loss (gain) on disposal of PPE and sale of scrap</t>
  </si>
  <si>
    <t>Retirement benefit expense</t>
  </si>
  <si>
    <t>Impairment loss on trade and other receivables/ VAT</t>
  </si>
  <si>
    <t>Loss on transfer of retirement benefit obligation</t>
  </si>
  <si>
    <t>Share-based compensation expense</t>
  </si>
  <si>
    <t>Unrealized forex gain</t>
  </si>
  <si>
    <t>Amortization of premiums from HTM investments</t>
  </si>
  <si>
    <t>Operating cash flows before WC changes</t>
  </si>
  <si>
    <t>Decrease (increase) in:</t>
  </si>
  <si>
    <t>Trade and other receivables</t>
  </si>
  <si>
    <t>Inventories</t>
  </si>
  <si>
    <t>Increase (decrease) in:</t>
  </si>
  <si>
    <t>Exchange differences on translating operating A&amp;L</t>
  </si>
  <si>
    <t>Cash generated from operations</t>
  </si>
  <si>
    <t>Contribution to retirement fund</t>
  </si>
  <si>
    <t>Income tax paid</t>
  </si>
  <si>
    <t>Interest income received</t>
  </si>
  <si>
    <t>Net cash from operating activities</t>
  </si>
  <si>
    <t>Cash flows from investing activities</t>
  </si>
  <si>
    <t>Acquisition of PPE</t>
  </si>
  <si>
    <t>Proceeds from sale of PPE</t>
  </si>
  <si>
    <t>Acquisition of HTM investments/trademark</t>
  </si>
  <si>
    <t>Acquisition of subdidiaries (net of cash acquired)</t>
  </si>
  <si>
    <t>Net cash used in investing activities</t>
  </si>
  <si>
    <t>Cash flows from financing activities</t>
  </si>
  <si>
    <t>Proceeds from issuance of share capital</t>
  </si>
  <si>
    <t>Net receipts from related parties</t>
  </si>
  <si>
    <t>Net proceeds from (repayments of) loans</t>
  </si>
  <si>
    <t>Finance costs paid</t>
  </si>
  <si>
    <t>Dividends paid</t>
  </si>
  <si>
    <t>Net cash from financing activities</t>
  </si>
  <si>
    <t>Net increase in cash and cash equivalents</t>
  </si>
  <si>
    <t>Cash, beginning</t>
  </si>
  <si>
    <t>Cash, ending</t>
  </si>
  <si>
    <t>Held-to-maturity investments - current</t>
  </si>
  <si>
    <t>Held-to-maturity investments - noncurrent</t>
  </si>
  <si>
    <t>Property, plant and equipment - net</t>
  </si>
  <si>
    <t>Loans payable and other current interest-bearing liabilities</t>
  </si>
  <si>
    <t>Income tax benefit/ (expense)</t>
  </si>
  <si>
    <t>Interest received</t>
  </si>
  <si>
    <t>Acquisition of intangible assets</t>
  </si>
  <si>
    <t>Consolidated Financial Statements</t>
  </si>
  <si>
    <t>Other noncurrent liabilities</t>
  </si>
  <si>
    <t>Prepaid income tax</t>
  </si>
  <si>
    <t>Loss on impairment of PPE</t>
  </si>
  <si>
    <t>Reversal of allowance for doubtful accounts</t>
  </si>
  <si>
    <t>Lease liabilities - current portion</t>
  </si>
  <si>
    <t>Lease liabilities - net of current portion</t>
  </si>
  <si>
    <t>Loss on impairment of goodwill</t>
  </si>
  <si>
    <t>Financial lease obligation</t>
  </si>
  <si>
    <t>Payment of lease liabilities</t>
  </si>
  <si>
    <t xml:space="preserve">                    -  </t>
  </si>
  <si>
    <t>Note: 2013 statement of income is based on proforma financial statements, while IFRS 15 is only applied beginning 2016.</t>
  </si>
  <si>
    <t>Right-of-use assets - net</t>
  </si>
  <si>
    <t>Licensing agreement</t>
  </si>
  <si>
    <t>Note: 2013 balance sheet is based on proforma financial statements.</t>
  </si>
  <si>
    <t>Note: 2013 statement of cash flows is based on proforma financial statements.</t>
  </si>
  <si>
    <t>Free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</si>
</sst>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0" fontId="0" fillId="0" borderId="0" xfId="0" applyFont="1" applyAlignment="1">
      <alignment horizontal="left" indent="2"/>
    </xf>
    <xf numFmtId="0" fontId="3" fillId="0" borderId="0" xfId="0" applyFont="1"/>
    <xf numFmtId="0" fontId="0" fillId="0" borderId="0" xfId="0" applyFont="1" applyFill="1" applyAlignment="1">
      <alignment horizontal="left" indent="2"/>
    </xf>
    <xf numFmtId="0" fontId="0" fillId="2" borderId="0" xfId="0" applyFont="1" applyFill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64" fontId="2" fillId="0" borderId="0" xfId="1" applyNumberFormat="1" applyFont="1" applyAlignment="1">
      <alignment horizontal="right"/>
    </xf>
    <xf numFmtId="9" fontId="0" fillId="0" borderId="0" xfId="2" applyFont="1" applyFill="1" applyAlignment="1">
      <alignment horizontal="right"/>
    </xf>
    <xf numFmtId="165" fontId="0" fillId="0" borderId="0" xfId="2" applyNumberFormat="1" applyFont="1" applyFill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4" fontId="5" fillId="0" borderId="0" xfId="1" applyNumberFormat="1" applyFont="1" applyFill="1" applyAlignment="1">
      <alignment horizontal="right"/>
    </xf>
    <xf numFmtId="166" fontId="4" fillId="0" borderId="0" xfId="1" applyNumberFormat="1" applyFont="1" applyFill="1" applyAlignment="1">
      <alignment horizontal="right"/>
    </xf>
    <xf numFmtId="0" fontId="0" fillId="0" borderId="0" xfId="0" applyFont="1" applyAlignment="1"/>
    <xf numFmtId="164" fontId="0" fillId="0" borderId="0" xfId="0" applyNumberFormat="1" applyFont="1" applyAlignment="1"/>
    <xf numFmtId="167" fontId="0" fillId="0" borderId="0" xfId="0" applyNumberFormat="1" applyFont="1" applyAlignment="1"/>
    <xf numFmtId="0" fontId="0" fillId="0" borderId="0" xfId="0" applyFont="1" applyFill="1"/>
    <xf numFmtId="3" fontId="0" fillId="0" borderId="0" xfId="1" applyNumberFormat="1" applyFont="1" applyFill="1" applyAlignment="1">
      <alignment horizontal="right"/>
    </xf>
    <xf numFmtId="0" fontId="0" fillId="0" borderId="1" xfId="0" applyFont="1" applyFill="1" applyBorder="1"/>
    <xf numFmtId="0" fontId="2" fillId="0" borderId="0" xfId="0" applyFont="1" applyFill="1"/>
    <xf numFmtId="164" fontId="6" fillId="0" borderId="0" xfId="0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8"/>
  <sheetViews>
    <sheetView tabSelected="1" zoomScale="75" zoomScaleNormal="85" zoomScalePageLayoutView="85" workbookViewId="0">
      <pane xSplit="1" ySplit="6" topLeftCell="B113" activePane="bottomRight" state="frozen"/>
      <selection pane="topRight" activeCell="B1" sqref="B1"/>
      <selection pane="bottomLeft" activeCell="A7" sqref="A7"/>
      <selection pane="bottomRight" activeCell="C143" sqref="C143"/>
    </sheetView>
  </sheetViews>
  <sheetFormatPr baseColWidth="10" defaultColWidth="9.1640625" defaultRowHeight="15" x14ac:dyDescent="0.2"/>
  <cols>
    <col min="1" max="1" width="44.1640625" style="2" customWidth="1"/>
    <col min="2" max="2" width="8.33203125" style="28" customWidth="1"/>
    <col min="3" max="3" width="9.6640625" style="28" bestFit="1" customWidth="1"/>
    <col min="4" max="6" width="9.1640625" style="28"/>
    <col min="7" max="7" width="10.1640625" style="28" bestFit="1" customWidth="1"/>
    <col min="8" max="8" width="10.6640625" style="28" bestFit="1" customWidth="1"/>
    <col min="9" max="16384" width="9.1640625" style="2"/>
  </cols>
  <sheetData>
    <row r="2" spans="1:8" x14ac:dyDescent="0.2">
      <c r="A2" s="1" t="s">
        <v>0</v>
      </c>
    </row>
    <row r="3" spans="1:8" x14ac:dyDescent="0.2">
      <c r="A3" s="1" t="s">
        <v>92</v>
      </c>
    </row>
    <row r="4" spans="1:8" x14ac:dyDescent="0.2">
      <c r="A4" s="1" t="s">
        <v>1</v>
      </c>
    </row>
    <row r="6" spans="1:8" x14ac:dyDescent="0.2">
      <c r="B6" s="11">
        <v>2013</v>
      </c>
      <c r="C6" s="11">
        <v>2014</v>
      </c>
      <c r="D6" s="11">
        <v>2015</v>
      </c>
      <c r="E6" s="11">
        <v>2016</v>
      </c>
      <c r="F6" s="11">
        <v>2017</v>
      </c>
      <c r="G6" s="11">
        <v>2018</v>
      </c>
      <c r="H6" s="11">
        <v>2019</v>
      </c>
    </row>
    <row r="7" spans="1:8" x14ac:dyDescent="0.2">
      <c r="A7" s="3" t="s">
        <v>12</v>
      </c>
      <c r="B7" s="17"/>
      <c r="C7" s="17"/>
      <c r="D7" s="17"/>
      <c r="E7" s="17"/>
      <c r="F7" s="17"/>
      <c r="G7" s="17"/>
      <c r="H7" s="17"/>
    </row>
    <row r="8" spans="1:8" x14ac:dyDescent="0.2">
      <c r="B8" s="11"/>
      <c r="C8" s="11"/>
      <c r="D8" s="11"/>
      <c r="E8" s="11"/>
      <c r="F8" s="10"/>
      <c r="G8" s="10"/>
      <c r="H8" s="10"/>
    </row>
    <row r="9" spans="1:8" x14ac:dyDescent="0.2">
      <c r="A9" s="2" t="s">
        <v>2</v>
      </c>
      <c r="B9" s="9">
        <v>19023.053067000001</v>
      </c>
      <c r="C9" s="9">
        <v>20438.555007999999</v>
      </c>
      <c r="D9" s="9">
        <v>23324.528579000002</v>
      </c>
      <c r="E9" s="9">
        <v>26796</v>
      </c>
      <c r="F9" s="12">
        <v>32907</v>
      </c>
      <c r="G9" s="9">
        <v>37885</v>
      </c>
      <c r="H9" s="9">
        <v>40560</v>
      </c>
    </row>
    <row r="10" spans="1:8" x14ac:dyDescent="0.2">
      <c r="A10" s="2" t="s">
        <v>3</v>
      </c>
      <c r="B10" s="9">
        <v>-15696.776711</v>
      </c>
      <c r="C10" s="9">
        <v>-15063.993046</v>
      </c>
      <c r="D10" s="9">
        <v>-17128.162071999999</v>
      </c>
      <c r="E10" s="9">
        <v>-19677.984326000002</v>
      </c>
      <c r="F10" s="9">
        <v>-25973</v>
      </c>
      <c r="G10" s="9">
        <v>-29738</v>
      </c>
      <c r="H10" s="9">
        <v>-30836</v>
      </c>
    </row>
    <row r="11" spans="1:8" x14ac:dyDescent="0.2">
      <c r="A11" s="1" t="s">
        <v>4</v>
      </c>
      <c r="B11" s="18">
        <f>SUM(B9:B10)</f>
        <v>3326.2763560000003</v>
      </c>
      <c r="C11" s="18">
        <f t="shared" ref="C11:G11" si="0">SUM(C9:C10)</f>
        <v>5374.5619619999998</v>
      </c>
      <c r="D11" s="18">
        <f t="shared" si="0"/>
        <v>6196.3665070000025</v>
      </c>
      <c r="E11" s="18">
        <f t="shared" si="0"/>
        <v>7118.0156739999984</v>
      </c>
      <c r="F11" s="18">
        <f t="shared" si="0"/>
        <v>6934</v>
      </c>
      <c r="G11" s="18">
        <f t="shared" si="0"/>
        <v>8147</v>
      </c>
      <c r="H11" s="18">
        <f>SUM(H9:H10)</f>
        <v>9724</v>
      </c>
    </row>
    <row r="12" spans="1:8" x14ac:dyDescent="0.2">
      <c r="A12" s="2" t="s">
        <v>6</v>
      </c>
      <c r="B12" s="9">
        <v>175.816427</v>
      </c>
      <c r="C12" s="9">
        <v>190.85700700000001</v>
      </c>
      <c r="D12" s="9">
        <v>100.151771</v>
      </c>
      <c r="E12" s="9">
        <v>272.03967399999999</v>
      </c>
      <c r="F12" s="9">
        <v>428</v>
      </c>
      <c r="G12" s="9">
        <v>535.51599999999996</v>
      </c>
      <c r="H12" s="9">
        <v>536.29100000000005</v>
      </c>
    </row>
    <row r="13" spans="1:8" x14ac:dyDescent="0.2">
      <c r="A13" s="2" t="s">
        <v>5</v>
      </c>
      <c r="B13" s="9">
        <v>-2415.239219</v>
      </c>
      <c r="C13" s="9">
        <v>-3272.3033639999999</v>
      </c>
      <c r="D13" s="9">
        <v>-3529.0302259999999</v>
      </c>
      <c r="E13" s="9">
        <v>-3725</v>
      </c>
      <c r="F13" s="9">
        <v>-3893</v>
      </c>
      <c r="G13" s="9">
        <v>-4720</v>
      </c>
      <c r="H13" s="9">
        <v>-5333</v>
      </c>
    </row>
    <row r="14" spans="1:8" x14ac:dyDescent="0.2">
      <c r="A14" s="2" t="s">
        <v>7</v>
      </c>
      <c r="B14" s="9">
        <v>-14.054392</v>
      </c>
      <c r="C14" s="9">
        <v>-39.579720000000002</v>
      </c>
      <c r="D14" s="9">
        <v>-35.942100000000003</v>
      </c>
      <c r="E14" s="9">
        <v>-51.334488999999998</v>
      </c>
      <c r="F14" s="9">
        <v>-40</v>
      </c>
      <c r="G14" s="9">
        <v>-163.69900000000001</v>
      </c>
      <c r="H14" s="9">
        <v>-519.67700000000002</v>
      </c>
    </row>
    <row r="15" spans="1:8" x14ac:dyDescent="0.2">
      <c r="A15" s="2" t="s">
        <v>9</v>
      </c>
      <c r="B15" s="9">
        <v>-112.45020599999999</v>
      </c>
      <c r="C15" s="9">
        <v>-15.287944</v>
      </c>
      <c r="D15" s="9">
        <v>-1.1583330000000001</v>
      </c>
      <c r="E15" s="9">
        <v>-77.42765</v>
      </c>
      <c r="F15" s="9">
        <v>-107</v>
      </c>
      <c r="G15" s="9">
        <v>-197</v>
      </c>
      <c r="H15" s="9">
        <v>-369</v>
      </c>
    </row>
    <row r="16" spans="1:8" x14ac:dyDescent="0.2">
      <c r="A16" s="1" t="s">
        <v>10</v>
      </c>
      <c r="B16" s="18">
        <f>SUM(B11:B15)</f>
        <v>960.34896600000047</v>
      </c>
      <c r="C16" s="18">
        <f>SUM(C11:C15)</f>
        <v>2238.2479409999992</v>
      </c>
      <c r="D16" s="18">
        <f t="shared" ref="D16:H16" si="1">SUM(D11:D15)</f>
        <v>2730.3876190000024</v>
      </c>
      <c r="E16" s="18">
        <f t="shared" si="1"/>
        <v>3536.2932089999981</v>
      </c>
      <c r="F16" s="18">
        <f t="shared" si="1"/>
        <v>3322</v>
      </c>
      <c r="G16" s="18">
        <f t="shared" si="1"/>
        <v>3601.8169999999996</v>
      </c>
      <c r="H16" s="18">
        <f t="shared" si="1"/>
        <v>4038.6139999999996</v>
      </c>
    </row>
    <row r="17" spans="1:8" x14ac:dyDescent="0.2">
      <c r="A17" s="2" t="s">
        <v>89</v>
      </c>
      <c r="B17" s="9">
        <v>-216.43176199999999</v>
      </c>
      <c r="C17" s="9">
        <v>-646.65758900000003</v>
      </c>
      <c r="D17" s="9">
        <v>-796.71284100000003</v>
      </c>
      <c r="E17" s="9">
        <v>-879.83815900000002</v>
      </c>
      <c r="F17" s="9">
        <v>-770</v>
      </c>
      <c r="G17" s="9">
        <v>-768</v>
      </c>
      <c r="H17" s="9">
        <v>-890</v>
      </c>
    </row>
    <row r="18" spans="1:8" x14ac:dyDescent="0.2">
      <c r="A18" s="1" t="s">
        <v>11</v>
      </c>
      <c r="B18" s="18">
        <f>SUM(B16:B17)</f>
        <v>743.91720400000054</v>
      </c>
      <c r="C18" s="18">
        <f>SUM(C16:C17)</f>
        <v>1591.5903519999993</v>
      </c>
      <c r="D18" s="18">
        <f t="shared" ref="D18:H18" si="2">SUM(D16:D17)</f>
        <v>1933.6747780000023</v>
      </c>
      <c r="E18" s="18">
        <f t="shared" si="2"/>
        <v>2656.4550499999982</v>
      </c>
      <c r="F18" s="18">
        <f t="shared" si="2"/>
        <v>2552</v>
      </c>
      <c r="G18" s="18">
        <f t="shared" si="2"/>
        <v>2833.8169999999996</v>
      </c>
      <c r="H18" s="18">
        <f t="shared" si="2"/>
        <v>3148.6139999999996</v>
      </c>
    </row>
    <row r="19" spans="1:8" x14ac:dyDescent="0.2">
      <c r="B19" s="19"/>
      <c r="C19" s="23"/>
      <c r="D19" s="23"/>
      <c r="E19" s="23"/>
      <c r="F19" s="23"/>
      <c r="G19" s="23"/>
      <c r="H19" s="23"/>
    </row>
    <row r="20" spans="1:8" s="1" customFormat="1" x14ac:dyDescent="0.2">
      <c r="A20" s="5" t="s">
        <v>103</v>
      </c>
      <c r="B20" s="11"/>
      <c r="C20" s="11"/>
      <c r="D20" s="11"/>
      <c r="E20" s="11"/>
      <c r="F20" s="11"/>
      <c r="G20" s="11"/>
      <c r="H20" s="11"/>
    </row>
    <row r="21" spans="1:8" x14ac:dyDescent="0.2">
      <c r="B21" s="10"/>
      <c r="C21" s="10"/>
      <c r="D21" s="10"/>
      <c r="E21" s="10"/>
      <c r="F21" s="10"/>
      <c r="G21" s="10"/>
      <c r="H21" s="10"/>
    </row>
    <row r="22" spans="1:8" x14ac:dyDescent="0.2">
      <c r="A22" s="3" t="s">
        <v>13</v>
      </c>
      <c r="B22" s="17"/>
      <c r="C22" s="17"/>
      <c r="D22" s="17"/>
      <c r="E22" s="17"/>
      <c r="F22" s="17"/>
      <c r="G22" s="17"/>
      <c r="H22" s="17"/>
    </row>
    <row r="23" spans="1:8" x14ac:dyDescent="0.2">
      <c r="B23" s="10"/>
      <c r="C23" s="10"/>
      <c r="D23" s="10"/>
      <c r="E23" s="10"/>
      <c r="F23" s="10"/>
      <c r="G23" s="10"/>
      <c r="H23" s="10"/>
    </row>
    <row r="24" spans="1:8" x14ac:dyDescent="0.2">
      <c r="A24" s="2" t="s">
        <v>14</v>
      </c>
      <c r="B24" s="8">
        <v>804.39473299999997</v>
      </c>
      <c r="C24" s="9">
        <v>1264.2098960000001</v>
      </c>
      <c r="D24" s="9">
        <v>722.16434300000003</v>
      </c>
      <c r="E24" s="9">
        <v>695.62700600000005</v>
      </c>
      <c r="F24" s="12">
        <v>1548.56</v>
      </c>
      <c r="G24" s="9">
        <v>1676</v>
      </c>
      <c r="H24" s="9">
        <v>1607.8440000000001</v>
      </c>
    </row>
    <row r="25" spans="1:8" x14ac:dyDescent="0.2">
      <c r="A25" s="2" t="s">
        <v>15</v>
      </c>
      <c r="B25" s="8">
        <v>2330.8916199999999</v>
      </c>
      <c r="C25" s="9">
        <v>2561.7316489999998</v>
      </c>
      <c r="D25" s="9">
        <v>3592.691726</v>
      </c>
      <c r="E25" s="9">
        <v>3954.5072650000002</v>
      </c>
      <c r="F25" s="12">
        <v>5329.1480000000001</v>
      </c>
      <c r="G25" s="9">
        <v>7076</v>
      </c>
      <c r="H25" s="9">
        <v>7000.5280000000002</v>
      </c>
    </row>
    <row r="26" spans="1:8" x14ac:dyDescent="0.2">
      <c r="A26" s="2" t="s">
        <v>16</v>
      </c>
      <c r="B26" s="8">
        <v>0</v>
      </c>
      <c r="C26" s="9">
        <v>212.65675400000001</v>
      </c>
      <c r="D26" s="9">
        <v>41.369475000000001</v>
      </c>
      <c r="E26" s="9">
        <v>91.119637999999995</v>
      </c>
      <c r="F26" s="9">
        <v>185.76</v>
      </c>
      <c r="G26" s="10">
        <v>123</v>
      </c>
      <c r="H26" s="14">
        <v>261.589</v>
      </c>
    </row>
    <row r="27" spans="1:8" s="31" customFormat="1" x14ac:dyDescent="0.2">
      <c r="A27" s="31" t="s">
        <v>85</v>
      </c>
      <c r="B27" s="9">
        <v>0</v>
      </c>
      <c r="C27" s="9">
        <v>152.43580299999999</v>
      </c>
      <c r="D27" s="9">
        <v>14.686601</v>
      </c>
      <c r="E27" s="9">
        <v>12.890266</v>
      </c>
      <c r="F27" s="9">
        <v>0</v>
      </c>
      <c r="G27" s="9">
        <v>0</v>
      </c>
      <c r="H27" s="9">
        <v>0</v>
      </c>
    </row>
    <row r="28" spans="1:8" x14ac:dyDescent="0.2">
      <c r="A28" s="2" t="s">
        <v>17</v>
      </c>
      <c r="B28" s="8">
        <v>3714.2291599999999</v>
      </c>
      <c r="C28" s="9">
        <v>5194.2053919999998</v>
      </c>
      <c r="D28" s="9">
        <v>5925.978924</v>
      </c>
      <c r="E28" s="9">
        <v>7528.8247810000003</v>
      </c>
      <c r="F28" s="12">
        <v>6995.1689999999999</v>
      </c>
      <c r="G28" s="8">
        <v>11656</v>
      </c>
      <c r="H28" s="8">
        <v>11781.871999999999</v>
      </c>
    </row>
    <row r="29" spans="1:8" x14ac:dyDescent="0.2">
      <c r="A29" s="2" t="s">
        <v>18</v>
      </c>
      <c r="B29" s="8">
        <v>0</v>
      </c>
      <c r="C29" s="9">
        <v>37.478189</v>
      </c>
      <c r="D29" s="9">
        <v>31.429134999999999</v>
      </c>
      <c r="E29" s="9">
        <v>34.817782000000001</v>
      </c>
      <c r="F29" s="12">
        <v>22.72</v>
      </c>
      <c r="G29" s="8">
        <v>43</v>
      </c>
      <c r="H29" s="8">
        <v>33.380000000000003</v>
      </c>
    </row>
    <row r="30" spans="1:8" x14ac:dyDescent="0.2">
      <c r="A30" s="2" t="s">
        <v>19</v>
      </c>
      <c r="B30" s="8">
        <v>176.74934500000001</v>
      </c>
      <c r="C30" s="9">
        <v>118.611442</v>
      </c>
      <c r="D30" s="9">
        <v>218.68364700000001</v>
      </c>
      <c r="E30" s="9">
        <v>439.78576600000002</v>
      </c>
      <c r="F30" s="12">
        <v>476.66899999999998</v>
      </c>
      <c r="G30" s="8">
        <v>467</v>
      </c>
      <c r="H30" s="8">
        <v>829.60900000000004</v>
      </c>
    </row>
    <row r="31" spans="1:8" x14ac:dyDescent="0.2">
      <c r="A31" s="2" t="s">
        <v>94</v>
      </c>
      <c r="B31" s="8">
        <v>0</v>
      </c>
      <c r="C31" s="8">
        <v>0</v>
      </c>
      <c r="D31" s="8">
        <v>0</v>
      </c>
      <c r="E31" s="8">
        <v>0</v>
      </c>
      <c r="F31" s="12">
        <v>125.956</v>
      </c>
      <c r="G31" s="8">
        <v>0</v>
      </c>
      <c r="H31" s="8">
        <v>0</v>
      </c>
    </row>
    <row r="32" spans="1:8" x14ac:dyDescent="0.2">
      <c r="A32" s="1" t="s">
        <v>20</v>
      </c>
      <c r="B32" s="18">
        <f t="shared" ref="B32:D32" si="3">SUM(B24:B31)</f>
        <v>7026.2648580000005</v>
      </c>
      <c r="C32" s="18">
        <f t="shared" si="3"/>
        <v>9541.3291249999984</v>
      </c>
      <c r="D32" s="18">
        <f t="shared" si="3"/>
        <v>10547.003851000001</v>
      </c>
      <c r="E32" s="18">
        <f>SUM(E24:E31)</f>
        <v>12757.572504000002</v>
      </c>
      <c r="F32" s="18">
        <f>SUM(F24:F31)</f>
        <v>14683.982</v>
      </c>
      <c r="G32" s="18">
        <f>SUM(G24:G31)</f>
        <v>21041</v>
      </c>
      <c r="H32" s="18">
        <f>SUM(H24:H31)</f>
        <v>21514.822</v>
      </c>
    </row>
    <row r="33" spans="1:8" x14ac:dyDescent="0.2">
      <c r="B33" s="8"/>
      <c r="C33" s="9"/>
      <c r="D33" s="9"/>
      <c r="E33" s="9"/>
      <c r="F33" s="10"/>
      <c r="G33" s="10"/>
      <c r="H33" s="10"/>
    </row>
    <row r="34" spans="1:8" x14ac:dyDescent="0.2">
      <c r="A34" s="2" t="s">
        <v>86</v>
      </c>
      <c r="B34" s="8">
        <v>0</v>
      </c>
      <c r="C34" s="9">
        <v>28.230588000000001</v>
      </c>
      <c r="D34" s="9">
        <v>13.108859000000001</v>
      </c>
      <c r="E34" s="8">
        <v>0</v>
      </c>
      <c r="F34" s="8">
        <v>0</v>
      </c>
      <c r="G34" s="8">
        <v>0</v>
      </c>
      <c r="H34" s="8">
        <v>0</v>
      </c>
    </row>
    <row r="35" spans="1:8" x14ac:dyDescent="0.2">
      <c r="A35" s="2" t="s">
        <v>87</v>
      </c>
      <c r="B35" s="8">
        <v>1046.775177</v>
      </c>
      <c r="C35" s="9">
        <v>1421.3690200000001</v>
      </c>
      <c r="D35" s="9">
        <v>3133.942196</v>
      </c>
      <c r="E35" s="9">
        <v>3945.4253480000002</v>
      </c>
      <c r="F35" s="9">
        <v>4935.8114219999998</v>
      </c>
      <c r="G35" s="9">
        <v>5458.0690000000004</v>
      </c>
      <c r="H35" s="9">
        <v>6414.5429999999997</v>
      </c>
    </row>
    <row r="36" spans="1:8" x14ac:dyDescent="0.2">
      <c r="A36" s="2" t="s">
        <v>21</v>
      </c>
      <c r="B36" s="8">
        <v>40</v>
      </c>
      <c r="C36" s="9">
        <v>40</v>
      </c>
      <c r="D36" s="9">
        <v>40</v>
      </c>
      <c r="E36" s="9">
        <v>101</v>
      </c>
      <c r="F36" s="36">
        <v>101</v>
      </c>
      <c r="G36" s="36">
        <v>101</v>
      </c>
      <c r="H36" s="36">
        <v>101</v>
      </c>
    </row>
    <row r="37" spans="1:8" x14ac:dyDescent="0.2">
      <c r="A37" s="2" t="s">
        <v>22</v>
      </c>
      <c r="B37" s="8">
        <v>0</v>
      </c>
      <c r="C37" s="8">
        <v>0</v>
      </c>
      <c r="D37" s="9">
        <v>2915.3251989999999</v>
      </c>
      <c r="E37" s="20">
        <v>2952</v>
      </c>
      <c r="F37" s="37">
        <v>2952</v>
      </c>
      <c r="G37" s="9">
        <v>2915</v>
      </c>
      <c r="H37" s="9">
        <v>2915.4920000000002</v>
      </c>
    </row>
    <row r="38" spans="1:8" x14ac:dyDescent="0.2">
      <c r="A38" s="2" t="s">
        <v>105</v>
      </c>
      <c r="B38" s="8">
        <v>0</v>
      </c>
      <c r="C38" s="8">
        <v>0</v>
      </c>
      <c r="D38" s="8">
        <v>0</v>
      </c>
      <c r="E38" s="8">
        <v>0</v>
      </c>
      <c r="F38" s="37">
        <v>531</v>
      </c>
      <c r="G38" s="9">
        <v>509</v>
      </c>
      <c r="H38" s="9">
        <v>488</v>
      </c>
    </row>
    <row r="39" spans="1:8" x14ac:dyDescent="0.2">
      <c r="A39" s="2" t="s">
        <v>23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x14ac:dyDescent="0.2">
      <c r="A40" s="2" t="s">
        <v>24</v>
      </c>
      <c r="B40" s="8">
        <v>21.747987999999999</v>
      </c>
      <c r="C40" s="9">
        <v>56.683629000000003</v>
      </c>
      <c r="D40" s="9">
        <v>81.725977</v>
      </c>
      <c r="E40" s="9">
        <v>118.001892</v>
      </c>
      <c r="F40" s="9">
        <v>95.25</v>
      </c>
      <c r="G40" s="9">
        <v>219.09399999999999</v>
      </c>
      <c r="H40" s="9">
        <v>359.68099999999998</v>
      </c>
    </row>
    <row r="41" spans="1:8" x14ac:dyDescent="0.2">
      <c r="A41" s="2" t="s">
        <v>104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9">
        <v>705</v>
      </c>
    </row>
    <row r="42" spans="1:8" x14ac:dyDescent="0.2">
      <c r="A42" s="2" t="s">
        <v>25</v>
      </c>
      <c r="B42" s="8">
        <v>23.856636000000002</v>
      </c>
      <c r="C42" s="9">
        <v>101.112707</v>
      </c>
      <c r="D42" s="9">
        <v>50.842436999999997</v>
      </c>
      <c r="E42" s="9">
        <v>57.435661000000003</v>
      </c>
      <c r="F42" s="9">
        <v>59.924999999999997</v>
      </c>
      <c r="G42" s="9">
        <v>92.475999999999999</v>
      </c>
      <c r="H42" s="9">
        <f>90</f>
        <v>90</v>
      </c>
    </row>
    <row r="43" spans="1:8" x14ac:dyDescent="0.2">
      <c r="A43" s="1" t="s">
        <v>26</v>
      </c>
      <c r="B43" s="21">
        <f t="shared" ref="B43:H43" si="4">SUM(B34:B42)</f>
        <v>1132.379801</v>
      </c>
      <c r="C43" s="18">
        <f t="shared" si="4"/>
        <v>1647.3959440000001</v>
      </c>
      <c r="D43" s="18">
        <f t="shared" si="4"/>
        <v>6234.9446680000001</v>
      </c>
      <c r="E43" s="18">
        <f t="shared" si="4"/>
        <v>7173.8629010000013</v>
      </c>
      <c r="F43" s="18">
        <f t="shared" si="4"/>
        <v>8674.9864219999981</v>
      </c>
      <c r="G43" s="18">
        <f t="shared" si="4"/>
        <v>9294.6389999999992</v>
      </c>
      <c r="H43" s="18">
        <f t="shared" si="4"/>
        <v>11073.716</v>
      </c>
    </row>
    <row r="44" spans="1:8" x14ac:dyDescent="0.2">
      <c r="B44" s="8"/>
      <c r="C44" s="9"/>
      <c r="D44" s="9"/>
      <c r="E44" s="9"/>
      <c r="F44" s="19"/>
      <c r="G44" s="10"/>
      <c r="H44" s="10"/>
    </row>
    <row r="45" spans="1:8" x14ac:dyDescent="0.2">
      <c r="A45" s="1" t="s">
        <v>27</v>
      </c>
      <c r="B45" s="21">
        <f t="shared" ref="B45:H45" si="5">B32+B43</f>
        <v>8158.6446590000005</v>
      </c>
      <c r="C45" s="18">
        <f t="shared" si="5"/>
        <v>11188.725068999998</v>
      </c>
      <c r="D45" s="18">
        <f t="shared" si="5"/>
        <v>16781.948519000001</v>
      </c>
      <c r="E45" s="18">
        <f t="shared" si="5"/>
        <v>19931.435405000004</v>
      </c>
      <c r="F45" s="18">
        <f t="shared" si="5"/>
        <v>23358.968421999998</v>
      </c>
      <c r="G45" s="18">
        <f t="shared" si="5"/>
        <v>30335.638999999999</v>
      </c>
      <c r="H45" s="18">
        <f t="shared" si="5"/>
        <v>32588.538</v>
      </c>
    </row>
    <row r="46" spans="1:8" x14ac:dyDescent="0.2">
      <c r="B46" s="8"/>
      <c r="C46" s="9"/>
      <c r="D46" s="22"/>
      <c r="E46" s="22"/>
      <c r="F46" s="19"/>
      <c r="G46" s="10"/>
      <c r="H46" s="10"/>
    </row>
    <row r="47" spans="1:8" x14ac:dyDescent="0.2">
      <c r="A47" s="2" t="s">
        <v>88</v>
      </c>
      <c r="B47" s="8">
        <v>2717.3000019999999</v>
      </c>
      <c r="C47" s="8">
        <v>0</v>
      </c>
      <c r="D47" s="9">
        <v>2250</v>
      </c>
      <c r="E47" s="9">
        <v>670.5</v>
      </c>
      <c r="F47" s="9">
        <v>2088.5</v>
      </c>
      <c r="G47" s="9">
        <v>3209.5</v>
      </c>
      <c r="H47" s="9">
        <v>2433.509</v>
      </c>
    </row>
    <row r="48" spans="1:8" x14ac:dyDescent="0.2">
      <c r="A48" s="2" t="s">
        <v>28</v>
      </c>
      <c r="B48" s="8">
        <v>2535.4918579999999</v>
      </c>
      <c r="C48" s="9">
        <v>4099.492499</v>
      </c>
      <c r="D48" s="9">
        <v>3863.9702069999998</v>
      </c>
      <c r="E48" s="9">
        <v>4729.8662560000002</v>
      </c>
      <c r="F48" s="9">
        <v>5031.47</v>
      </c>
      <c r="G48" s="9">
        <v>7007.1490000000003</v>
      </c>
      <c r="H48" s="9">
        <f>6832.729</f>
        <v>6832.7290000000003</v>
      </c>
    </row>
    <row r="49" spans="1:8" x14ac:dyDescent="0.2">
      <c r="A49" s="2" t="s">
        <v>29</v>
      </c>
      <c r="B49" s="8">
        <v>51.835543999999999</v>
      </c>
      <c r="C49" s="9">
        <v>128.48958200000001</v>
      </c>
      <c r="D49" s="9">
        <v>146.53336300000001</v>
      </c>
      <c r="E49" s="9">
        <v>148.63128800000001</v>
      </c>
      <c r="F49" s="8">
        <v>0</v>
      </c>
      <c r="G49" s="9">
        <v>98.64</v>
      </c>
      <c r="H49" s="9">
        <v>148.43899999999999</v>
      </c>
    </row>
    <row r="50" spans="1:8" x14ac:dyDescent="0.2">
      <c r="A50" s="2" t="s">
        <v>30</v>
      </c>
      <c r="B50" s="8">
        <v>0</v>
      </c>
      <c r="C50" s="9">
        <v>286.07480500000003</v>
      </c>
      <c r="D50" s="9">
        <v>13.979191999999999</v>
      </c>
      <c r="E50" s="9">
        <v>89.994184000000004</v>
      </c>
      <c r="F50" s="9">
        <v>21.814</v>
      </c>
      <c r="G50" s="9">
        <v>10.581</v>
      </c>
      <c r="H50" s="9">
        <v>19.706</v>
      </c>
    </row>
    <row r="51" spans="1:8" s="31" customFormat="1" x14ac:dyDescent="0.2">
      <c r="A51" s="31" t="s">
        <v>97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26.779</v>
      </c>
      <c r="H51" s="9">
        <v>269.08199999999999</v>
      </c>
    </row>
    <row r="52" spans="1:8" x14ac:dyDescent="0.2">
      <c r="A52" s="1" t="s">
        <v>31</v>
      </c>
      <c r="B52" s="21">
        <f>SUM(B47:B51)</f>
        <v>5304.6274039999989</v>
      </c>
      <c r="C52" s="21">
        <f t="shared" ref="C52:H52" si="6">SUM(C47:C51)</f>
        <v>4514.0568860000003</v>
      </c>
      <c r="D52" s="21">
        <f t="shared" si="6"/>
        <v>6274.4827620000005</v>
      </c>
      <c r="E52" s="21">
        <f t="shared" si="6"/>
        <v>5638.991728</v>
      </c>
      <c r="F52" s="21">
        <f t="shared" si="6"/>
        <v>7141.7840000000006</v>
      </c>
      <c r="G52" s="21">
        <f t="shared" si="6"/>
        <v>10352.649000000001</v>
      </c>
      <c r="H52" s="21">
        <f t="shared" si="6"/>
        <v>9703.465000000002</v>
      </c>
    </row>
    <row r="53" spans="1:8" x14ac:dyDescent="0.2">
      <c r="B53" s="8"/>
      <c r="C53" s="9"/>
      <c r="D53" s="9"/>
      <c r="E53" s="9"/>
      <c r="F53" s="10"/>
      <c r="G53" s="10"/>
      <c r="H53" s="10"/>
    </row>
    <row r="54" spans="1:8" x14ac:dyDescent="0.2">
      <c r="A54" s="2" t="s">
        <v>32</v>
      </c>
      <c r="B54" s="8">
        <v>0</v>
      </c>
      <c r="C54" s="8">
        <v>0</v>
      </c>
      <c r="D54" s="8">
        <v>0</v>
      </c>
      <c r="E54" s="9">
        <v>1633.5</v>
      </c>
      <c r="F54" s="9">
        <v>1619.5</v>
      </c>
      <c r="G54" s="9">
        <f>3103</f>
        <v>3103</v>
      </c>
      <c r="H54" s="9">
        <f>3086.5</f>
        <v>3086.5</v>
      </c>
    </row>
    <row r="55" spans="1:8" x14ac:dyDescent="0.2">
      <c r="A55" s="2" t="s">
        <v>33</v>
      </c>
      <c r="B55" s="8">
        <v>13.948453000000001</v>
      </c>
      <c r="C55" s="9">
        <v>93.870878000000005</v>
      </c>
      <c r="D55" s="9">
        <v>157.039771</v>
      </c>
      <c r="E55" s="9">
        <v>118.327684</v>
      </c>
      <c r="F55" s="9">
        <v>107.5</v>
      </c>
      <c r="G55" s="9">
        <v>78.278000000000006</v>
      </c>
      <c r="H55" s="9">
        <v>160</v>
      </c>
    </row>
    <row r="56" spans="1:8" s="31" customFormat="1" x14ac:dyDescent="0.2">
      <c r="A56" s="31" t="s">
        <v>98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78.802000000000007</v>
      </c>
      <c r="H56" s="9">
        <v>484.10300000000001</v>
      </c>
    </row>
    <row r="57" spans="1:8" x14ac:dyDescent="0.2">
      <c r="A57" s="2" t="s">
        <v>34</v>
      </c>
      <c r="B57" s="8">
        <v>1.418347</v>
      </c>
      <c r="C57" s="9">
        <v>0.46002199999999999</v>
      </c>
      <c r="D57" s="9">
        <v>3.594077</v>
      </c>
      <c r="E57" s="9">
        <v>2.5476679999999998</v>
      </c>
      <c r="F57" s="9">
        <v>7.556</v>
      </c>
      <c r="G57" s="8">
        <v>0</v>
      </c>
      <c r="H57" s="14">
        <f>0.36</f>
        <v>0.36</v>
      </c>
    </row>
    <row r="58" spans="1:8" x14ac:dyDescent="0.2">
      <c r="A58" s="1" t="s">
        <v>35</v>
      </c>
      <c r="B58" s="21">
        <f>SUM(B54:B57)</f>
        <v>15.366800000000001</v>
      </c>
      <c r="C58" s="18">
        <f t="shared" ref="C58:H58" si="7">SUM(C54:C57)</f>
        <v>94.3309</v>
      </c>
      <c r="D58" s="18">
        <f t="shared" si="7"/>
        <v>160.633848</v>
      </c>
      <c r="E58" s="18">
        <f t="shared" si="7"/>
        <v>1754.375352</v>
      </c>
      <c r="F58" s="18">
        <f t="shared" si="7"/>
        <v>1734.556</v>
      </c>
      <c r="G58" s="18">
        <f t="shared" si="7"/>
        <v>3260.08</v>
      </c>
      <c r="H58" s="18">
        <f t="shared" si="7"/>
        <v>3730.9630000000002</v>
      </c>
    </row>
    <row r="59" spans="1:8" x14ac:dyDescent="0.2">
      <c r="B59" s="8"/>
      <c r="C59" s="9"/>
      <c r="D59" s="9"/>
      <c r="E59" s="9"/>
      <c r="F59" s="10"/>
      <c r="G59" s="10"/>
      <c r="H59" s="10"/>
    </row>
    <row r="60" spans="1:8" x14ac:dyDescent="0.2">
      <c r="A60" s="2" t="s">
        <v>36</v>
      </c>
      <c r="B60" s="8">
        <v>1500</v>
      </c>
      <c r="C60" s="9">
        <v>2231.021604</v>
      </c>
      <c r="D60" s="9">
        <v>2360.6859330000002</v>
      </c>
      <c r="E60" s="9">
        <v>3541.0288949999999</v>
      </c>
      <c r="F60" s="9">
        <v>3542.2579999999998</v>
      </c>
      <c r="G60" s="9">
        <v>3542.259</v>
      </c>
      <c r="H60" s="9">
        <v>3542.259</v>
      </c>
    </row>
    <row r="61" spans="1:8" x14ac:dyDescent="0.2">
      <c r="A61" s="2" t="s">
        <v>37</v>
      </c>
      <c r="B61" s="8">
        <v>0</v>
      </c>
      <c r="C61" s="9">
        <v>2769.3374100000001</v>
      </c>
      <c r="D61" s="9">
        <v>4911.9864390000002</v>
      </c>
      <c r="E61" s="9">
        <v>4911.9864390000002</v>
      </c>
      <c r="F61" s="9">
        <v>4928.0950000000003</v>
      </c>
      <c r="G61" s="9">
        <v>4936.8590000000004</v>
      </c>
      <c r="H61" s="9">
        <v>4936.8590000000004</v>
      </c>
    </row>
    <row r="62" spans="1:8" x14ac:dyDescent="0.2">
      <c r="A62" s="2" t="s">
        <v>38</v>
      </c>
      <c r="B62" s="8">
        <v>0</v>
      </c>
      <c r="C62" s="9">
        <v>3.3769840000000002</v>
      </c>
      <c r="D62" s="9">
        <v>5.2623600000000001</v>
      </c>
      <c r="E62" s="9">
        <v>5.2623600000000001</v>
      </c>
      <c r="F62" s="9">
        <v>8.3239999999999998</v>
      </c>
      <c r="G62" s="9">
        <v>8.2119999999999997</v>
      </c>
      <c r="H62" s="9">
        <v>8.2110000000000003</v>
      </c>
    </row>
    <row r="63" spans="1:8" x14ac:dyDescent="0.2">
      <c r="A63" s="2" t="s">
        <v>39</v>
      </c>
      <c r="B63" s="8">
        <v>0</v>
      </c>
      <c r="C63" s="9">
        <v>30.628941999999999</v>
      </c>
      <c r="D63" s="9">
        <v>30.628941999999999</v>
      </c>
      <c r="E63" s="9">
        <v>30.628941999999999</v>
      </c>
      <c r="F63" s="9">
        <v>30.629000000000001</v>
      </c>
      <c r="G63" s="9">
        <v>30.628</v>
      </c>
      <c r="H63" s="9">
        <v>30.628</v>
      </c>
    </row>
    <row r="64" spans="1:8" x14ac:dyDescent="0.2">
      <c r="A64" s="2" t="s">
        <v>40</v>
      </c>
      <c r="B64" s="8">
        <v>19.347898000000001</v>
      </c>
      <c r="C64" s="9">
        <v>19.477591</v>
      </c>
      <c r="D64" s="9">
        <v>48.506726999999998</v>
      </c>
      <c r="E64" s="9">
        <v>34.92286</v>
      </c>
      <c r="F64" s="9">
        <v>39.743000000000002</v>
      </c>
      <c r="G64" s="9">
        <v>42.512999999999998</v>
      </c>
      <c r="H64" s="9">
        <v>25.44</v>
      </c>
    </row>
    <row r="65" spans="1:8" x14ac:dyDescent="0.2">
      <c r="A65" s="2" t="s">
        <v>41</v>
      </c>
      <c r="B65" s="8">
        <v>1319.302557</v>
      </c>
      <c r="C65" s="9">
        <v>1526.4947520000001</v>
      </c>
      <c r="D65" s="9">
        <v>2989.761508</v>
      </c>
      <c r="E65" s="9">
        <v>4014.9963120000002</v>
      </c>
      <c r="F65" s="9">
        <v>5934.0659999999998</v>
      </c>
      <c r="G65" s="9">
        <v>8164.1009999999997</v>
      </c>
      <c r="H65" s="9">
        <v>10610.919</v>
      </c>
    </row>
    <row r="66" spans="1:8" x14ac:dyDescent="0.2">
      <c r="A66" s="1" t="s">
        <v>42</v>
      </c>
      <c r="B66" s="21">
        <f t="shared" ref="B66:H66" si="8">SUM(B60:B65)</f>
        <v>2838.650455</v>
      </c>
      <c r="C66" s="18">
        <f t="shared" si="8"/>
        <v>6580.3372830000008</v>
      </c>
      <c r="D66" s="18">
        <f t="shared" si="8"/>
        <v>10346.831909</v>
      </c>
      <c r="E66" s="18">
        <f t="shared" si="8"/>
        <v>12538.825808000001</v>
      </c>
      <c r="F66" s="18">
        <f t="shared" si="8"/>
        <v>14483.115000000002</v>
      </c>
      <c r="G66" s="18">
        <f t="shared" si="8"/>
        <v>16724.572</v>
      </c>
      <c r="H66" s="18">
        <f t="shared" si="8"/>
        <v>19154.315999999999</v>
      </c>
    </row>
    <row r="67" spans="1:8" x14ac:dyDescent="0.2">
      <c r="B67" s="8"/>
      <c r="C67" s="9"/>
      <c r="D67" s="23"/>
      <c r="E67" s="23"/>
      <c r="F67" s="10"/>
      <c r="G67" s="10"/>
      <c r="H67" s="10"/>
    </row>
    <row r="68" spans="1:8" x14ac:dyDescent="0.2">
      <c r="A68" s="1" t="s">
        <v>43</v>
      </c>
      <c r="B68" s="21">
        <f t="shared" ref="B68:H68" si="9">B52+B58+B66</f>
        <v>8158.6446589999987</v>
      </c>
      <c r="C68" s="18">
        <f t="shared" si="9"/>
        <v>11188.725069</v>
      </c>
      <c r="D68" s="18">
        <f t="shared" si="9"/>
        <v>16781.948519000001</v>
      </c>
      <c r="E68" s="18">
        <f t="shared" si="9"/>
        <v>19932.192888000001</v>
      </c>
      <c r="F68" s="18">
        <f t="shared" si="9"/>
        <v>23359.455000000002</v>
      </c>
      <c r="G68" s="18">
        <f t="shared" si="9"/>
        <v>30337.300999999999</v>
      </c>
      <c r="H68" s="18">
        <f t="shared" si="9"/>
        <v>32588.743999999999</v>
      </c>
    </row>
    <row r="69" spans="1:8" x14ac:dyDescent="0.2">
      <c r="B69" s="16"/>
      <c r="C69" s="16"/>
      <c r="D69" s="16"/>
      <c r="E69" s="16"/>
      <c r="F69" s="10"/>
      <c r="G69" s="10"/>
      <c r="H69" s="10"/>
    </row>
    <row r="70" spans="1:8" x14ac:dyDescent="0.2">
      <c r="A70" s="5" t="s">
        <v>106</v>
      </c>
      <c r="B70" s="10"/>
      <c r="C70" s="10"/>
      <c r="D70" s="10"/>
      <c r="E70" s="10"/>
      <c r="F70" s="10"/>
      <c r="G70" s="10"/>
      <c r="H70" s="10"/>
    </row>
    <row r="71" spans="1:8" x14ac:dyDescent="0.2">
      <c r="A71" s="5"/>
      <c r="B71" s="10"/>
      <c r="C71" s="10"/>
      <c r="D71" s="10"/>
      <c r="E71" s="10"/>
      <c r="F71" s="10"/>
      <c r="G71" s="10"/>
      <c r="H71" s="10"/>
    </row>
    <row r="72" spans="1:8" x14ac:dyDescent="0.2">
      <c r="A72" s="3" t="s">
        <v>44</v>
      </c>
      <c r="B72" s="7"/>
      <c r="C72" s="7"/>
      <c r="D72" s="7"/>
      <c r="E72" s="7"/>
      <c r="F72" s="17"/>
      <c r="G72" s="17"/>
      <c r="H72" s="17"/>
    </row>
    <row r="73" spans="1:8" x14ac:dyDescent="0.2">
      <c r="B73" s="10"/>
      <c r="C73" s="10"/>
      <c r="D73" s="10"/>
      <c r="E73" s="10"/>
      <c r="F73" s="10"/>
      <c r="G73" s="10"/>
      <c r="H73" s="10"/>
    </row>
    <row r="74" spans="1:8" x14ac:dyDescent="0.2">
      <c r="A74" s="1" t="s">
        <v>45</v>
      </c>
      <c r="B74" s="11"/>
      <c r="C74" s="11"/>
      <c r="D74" s="11"/>
      <c r="E74" s="11"/>
      <c r="F74" s="10"/>
      <c r="G74" s="10"/>
      <c r="H74" s="10"/>
    </row>
    <row r="75" spans="1:8" x14ac:dyDescent="0.2">
      <c r="A75" s="2" t="s">
        <v>10</v>
      </c>
      <c r="B75" s="9">
        <v>960.34896600000002</v>
      </c>
      <c r="C75" s="9">
        <v>2238.2479410000001</v>
      </c>
      <c r="D75" s="9">
        <v>2730.3876190000001</v>
      </c>
      <c r="E75" s="9">
        <v>3535.434221</v>
      </c>
      <c r="F75" s="12">
        <v>3322.1351949999998</v>
      </c>
      <c r="G75" s="9">
        <v>3602.1390000000001</v>
      </c>
      <c r="H75" s="9">
        <v>4038.6289999999999</v>
      </c>
    </row>
    <row r="76" spans="1:8" x14ac:dyDescent="0.2">
      <c r="A76" s="2" t="s">
        <v>46</v>
      </c>
      <c r="B76" s="9"/>
      <c r="C76" s="9"/>
      <c r="D76" s="9"/>
      <c r="E76" s="9"/>
      <c r="F76" s="10"/>
      <c r="G76" s="16"/>
      <c r="H76" s="16"/>
    </row>
    <row r="77" spans="1:8" x14ac:dyDescent="0.2">
      <c r="A77" s="4" t="s">
        <v>47</v>
      </c>
      <c r="B77" s="9">
        <v>193.394847</v>
      </c>
      <c r="C77" s="9">
        <v>152.749348</v>
      </c>
      <c r="D77" s="9">
        <v>152.384578</v>
      </c>
      <c r="E77" s="9">
        <v>359.35353199999997</v>
      </c>
      <c r="F77" s="9">
        <v>525.32446300000004</v>
      </c>
      <c r="G77" s="9">
        <v>726.90899999999999</v>
      </c>
      <c r="H77" s="9">
        <v>932.36599999999999</v>
      </c>
    </row>
    <row r="78" spans="1:8" x14ac:dyDescent="0.2">
      <c r="A78" s="4" t="s">
        <v>9</v>
      </c>
      <c r="B78" s="9">
        <v>112.45020599999999</v>
      </c>
      <c r="C78" s="9">
        <v>15.287944</v>
      </c>
      <c r="D78" s="9">
        <v>1.1583330000000001</v>
      </c>
      <c r="E78" s="9">
        <v>77.42765</v>
      </c>
      <c r="F78" s="9">
        <v>106.97799999999999</v>
      </c>
      <c r="G78" s="9">
        <v>196.86099999999999</v>
      </c>
      <c r="H78" s="9">
        <v>369.428</v>
      </c>
    </row>
    <row r="79" spans="1:8" x14ac:dyDescent="0.2">
      <c r="A79" s="4" t="s">
        <v>48</v>
      </c>
      <c r="B79" s="9">
        <v>0</v>
      </c>
      <c r="C79" s="9">
        <v>30.307632999999999</v>
      </c>
      <c r="D79" s="13">
        <f>5.587422+7.848982</f>
        <v>13.436404</v>
      </c>
      <c r="E79" s="9">
        <v>94.097955999999996</v>
      </c>
      <c r="F79" s="14">
        <f>5.501642+2.936341</f>
        <v>8.4379830000000009</v>
      </c>
      <c r="G79" s="16">
        <f>14.125+92.973</f>
        <v>107.098</v>
      </c>
      <c r="H79" s="16">
        <v>5.7939999999999996</v>
      </c>
    </row>
    <row r="80" spans="1:8" x14ac:dyDescent="0.2">
      <c r="A80" s="4" t="s">
        <v>49</v>
      </c>
      <c r="B80" s="9">
        <v>-16.994194</v>
      </c>
      <c r="C80" s="13">
        <v>0</v>
      </c>
      <c r="D80" s="13">
        <v>0</v>
      </c>
      <c r="E80" s="9">
        <f>-6.183465-70.256049</f>
        <v>-76.439514000000003</v>
      </c>
      <c r="F80" s="9">
        <f>-54.401-56.387</f>
        <v>-110.78800000000001</v>
      </c>
      <c r="G80" s="9">
        <f>-71.76-28.617</f>
        <v>-100.37700000000001</v>
      </c>
      <c r="H80" s="16">
        <f>-125.718-192.376</f>
        <v>-318.09399999999999</v>
      </c>
    </row>
    <row r="81" spans="1:8" x14ac:dyDescent="0.2">
      <c r="A81" s="4" t="s">
        <v>96</v>
      </c>
      <c r="B81" s="9">
        <v>0</v>
      </c>
      <c r="C81" s="9">
        <v>0</v>
      </c>
      <c r="D81" s="9">
        <v>0</v>
      </c>
      <c r="E81" s="9">
        <v>0</v>
      </c>
      <c r="F81" s="9">
        <f>-33.463059</f>
        <v>-33.463059000000001</v>
      </c>
      <c r="G81" s="8">
        <v>0</v>
      </c>
      <c r="H81" s="16">
        <f>-48.888</f>
        <v>-48.887999999999998</v>
      </c>
    </row>
    <row r="82" spans="1:8" x14ac:dyDescent="0.2">
      <c r="A82" s="4" t="s">
        <v>50</v>
      </c>
      <c r="B82" s="9">
        <v>4.4623179999999998</v>
      </c>
      <c r="C82" s="9">
        <v>71.192497000000003</v>
      </c>
      <c r="D82" s="9">
        <f>17.913363+3.715224</f>
        <v>21.628587</v>
      </c>
      <c r="E82" s="9">
        <f>18.970008+6.841777</f>
        <v>25.811785</v>
      </c>
      <c r="F82" s="14">
        <f>11.956+10.797</f>
        <v>22.753</v>
      </c>
      <c r="G82" s="16">
        <f>94.774+22.065</f>
        <v>116.839</v>
      </c>
      <c r="H82" s="16">
        <f>72.394+185.818</f>
        <v>258.21199999999999</v>
      </c>
    </row>
    <row r="83" spans="1:8" x14ac:dyDescent="0.2">
      <c r="A83" s="4" t="s">
        <v>51</v>
      </c>
      <c r="B83" s="9">
        <v>3.0952500000000001</v>
      </c>
      <c r="C83" s="9">
        <v>-0.30996499999999999</v>
      </c>
      <c r="D83" s="9">
        <v>3.553569</v>
      </c>
      <c r="E83" s="9">
        <f>-4.177398-5.211839</f>
        <v>-9.3892370000000014</v>
      </c>
      <c r="F83" s="15">
        <f>-157.750288-3.276212</f>
        <v>-161.0265</v>
      </c>
      <c r="G83" s="16">
        <f>-123.654+2.098</f>
        <v>-121.556</v>
      </c>
      <c r="H83" s="16">
        <f>-15.15+31.63</f>
        <v>16.479999999999997</v>
      </c>
    </row>
    <row r="84" spans="1:8" x14ac:dyDescent="0.2">
      <c r="A84" s="4" t="s">
        <v>52</v>
      </c>
      <c r="B84" s="9">
        <v>9.3137869999999996</v>
      </c>
      <c r="C84" s="9">
        <v>18.082851999999999</v>
      </c>
      <c r="D84" s="9">
        <v>57.822015999999998</v>
      </c>
      <c r="E84" s="9">
        <v>34.255248999999999</v>
      </c>
      <c r="F84" s="9">
        <v>40.284999999999997</v>
      </c>
      <c r="G84" s="9">
        <v>41.694000000000003</v>
      </c>
      <c r="H84" s="9">
        <v>38.686</v>
      </c>
    </row>
    <row r="85" spans="1:8" x14ac:dyDescent="0.2">
      <c r="A85" s="6" t="s">
        <v>53</v>
      </c>
      <c r="B85" s="9">
        <v>4.066287</v>
      </c>
      <c r="C85" s="9">
        <v>0</v>
      </c>
      <c r="D85" s="9">
        <v>13.024319999999999</v>
      </c>
      <c r="E85" s="9">
        <v>5.4187320000000003</v>
      </c>
      <c r="F85" s="9">
        <v>1.444836</v>
      </c>
      <c r="G85" s="16">
        <v>50.88</v>
      </c>
      <c r="H85" s="9">
        <v>5.5389999999999997</v>
      </c>
    </row>
    <row r="86" spans="1:8" x14ac:dyDescent="0.2">
      <c r="A86" s="6" t="s">
        <v>95</v>
      </c>
      <c r="B86" s="9">
        <v>0</v>
      </c>
      <c r="C86" s="9">
        <v>0</v>
      </c>
      <c r="D86" s="9">
        <v>0</v>
      </c>
      <c r="E86" s="8">
        <v>0</v>
      </c>
      <c r="F86" s="9">
        <v>2.0064449999999998</v>
      </c>
      <c r="G86" s="8">
        <v>0</v>
      </c>
      <c r="H86" s="8">
        <v>0</v>
      </c>
    </row>
    <row r="87" spans="1:8" x14ac:dyDescent="0.2">
      <c r="A87" s="4" t="s">
        <v>54</v>
      </c>
      <c r="B87" s="9">
        <v>0</v>
      </c>
      <c r="C87" s="9">
        <v>15.995809</v>
      </c>
      <c r="D87" s="9">
        <v>0</v>
      </c>
      <c r="E87" s="9">
        <v>0</v>
      </c>
      <c r="F87" s="8">
        <v>0</v>
      </c>
      <c r="G87" s="8">
        <v>0</v>
      </c>
      <c r="H87" s="9">
        <v>0</v>
      </c>
    </row>
    <row r="88" spans="1:8" s="31" customFormat="1" x14ac:dyDescent="0.2">
      <c r="A88" s="6" t="s">
        <v>99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15">
        <v>36.957000000000001</v>
      </c>
      <c r="H88" s="9">
        <v>0</v>
      </c>
    </row>
    <row r="89" spans="1:8" s="31" customFormat="1" x14ac:dyDescent="0.2">
      <c r="A89" s="6" t="s">
        <v>55</v>
      </c>
      <c r="B89" s="9">
        <v>0</v>
      </c>
      <c r="C89" s="9">
        <v>3.3769840000000002</v>
      </c>
      <c r="D89" s="9">
        <v>1.8853759999999999</v>
      </c>
      <c r="E89" s="9"/>
      <c r="F89" s="9">
        <v>3.0629529999999998</v>
      </c>
      <c r="G89" s="9">
        <v>8.6509999999999998</v>
      </c>
      <c r="H89" s="9">
        <v>0</v>
      </c>
    </row>
    <row r="90" spans="1:8" s="31" customFormat="1" x14ac:dyDescent="0.2">
      <c r="A90" s="6" t="s">
        <v>56</v>
      </c>
      <c r="B90" s="9">
        <v>0</v>
      </c>
      <c r="C90" s="9">
        <v>-0.45309199999999999</v>
      </c>
      <c r="D90" s="9">
        <v>11.108136999999999</v>
      </c>
      <c r="E90" s="9">
        <v>-5.0813259999999998</v>
      </c>
      <c r="F90" s="9">
        <v>-130.35762299999999</v>
      </c>
      <c r="G90" s="9">
        <v>44.741999999999997</v>
      </c>
      <c r="H90" s="9">
        <v>-31.084</v>
      </c>
    </row>
    <row r="91" spans="1:8" s="31" customFormat="1" x14ac:dyDescent="0.2">
      <c r="A91" s="6" t="s">
        <v>57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s="31" customFormat="1" x14ac:dyDescent="0.2">
      <c r="A92" s="6" t="s">
        <v>8</v>
      </c>
      <c r="B92" s="9">
        <v>-10.233586000000001</v>
      </c>
      <c r="C92" s="13">
        <v>-9.1652760000000004</v>
      </c>
      <c r="D92" s="9">
        <v>-7.629931</v>
      </c>
      <c r="E92" s="9">
        <v>-5.8540989999999997</v>
      </c>
      <c r="F92" s="9">
        <v>-4.9119999999999999</v>
      </c>
      <c r="G92" s="15">
        <v>-7.5789999999999997</v>
      </c>
      <c r="H92" s="15">
        <v>-8.0820000000000007</v>
      </c>
    </row>
    <row r="93" spans="1:8" s="31" customFormat="1" x14ac:dyDescent="0.2">
      <c r="A93" s="33" t="s">
        <v>58</v>
      </c>
      <c r="B93" s="24">
        <f>SUM(B75:B92)</f>
        <v>1259.9038810000002</v>
      </c>
      <c r="C93" s="25">
        <f>SUM(C75:C92)</f>
        <v>2535.3126749999997</v>
      </c>
      <c r="D93" s="24">
        <f>SUM(D75:D92)</f>
        <v>2998.7590080000009</v>
      </c>
      <c r="E93" s="24">
        <f>SUM(E75:E92)</f>
        <v>4035.0349489999999</v>
      </c>
      <c r="F93" s="24">
        <f>SUM(F75:F92)</f>
        <v>3591.8806930000001</v>
      </c>
      <c r="G93" s="24">
        <f t="shared" ref="G93:H93" si="10">SUM(G75:G92)</f>
        <v>4703.2580000000007</v>
      </c>
      <c r="H93" s="24">
        <f t="shared" si="10"/>
        <v>5258.985999999999</v>
      </c>
    </row>
    <row r="94" spans="1:8" s="31" customFormat="1" x14ac:dyDescent="0.2">
      <c r="A94" s="31" t="s">
        <v>59</v>
      </c>
      <c r="B94" s="9"/>
      <c r="C94" s="9"/>
      <c r="D94" s="22"/>
      <c r="E94" s="9"/>
      <c r="F94" s="19"/>
      <c r="G94" s="15"/>
      <c r="H94" s="15"/>
    </row>
    <row r="95" spans="1:8" s="31" customFormat="1" x14ac:dyDescent="0.2">
      <c r="A95" s="6" t="s">
        <v>60</v>
      </c>
      <c r="B95" s="9">
        <v>-1057.4859980000001</v>
      </c>
      <c r="C95" s="9">
        <v>-1560.1620760000001</v>
      </c>
      <c r="D95" s="9">
        <v>-780.10580600000003</v>
      </c>
      <c r="E95" s="9">
        <v>-313.38849299999998</v>
      </c>
      <c r="F95" s="9">
        <v>-1213.283827</v>
      </c>
      <c r="G95" s="9">
        <v>-1805.6110000000001</v>
      </c>
      <c r="H95" s="9">
        <v>119.292</v>
      </c>
    </row>
    <row r="96" spans="1:8" s="31" customFormat="1" x14ac:dyDescent="0.2">
      <c r="A96" s="6" t="s">
        <v>16</v>
      </c>
      <c r="B96" s="9">
        <v>0</v>
      </c>
      <c r="C96" s="9">
        <v>-903.51035400000001</v>
      </c>
      <c r="D96" s="9">
        <v>171.28727900000001</v>
      </c>
      <c r="E96" s="9">
        <v>-49.750163000000001</v>
      </c>
      <c r="F96" s="9">
        <v>-94.641920999999996</v>
      </c>
      <c r="G96" s="9">
        <v>62.914000000000001</v>
      </c>
      <c r="H96" s="9">
        <v>-138.74199999999999</v>
      </c>
    </row>
    <row r="97" spans="1:8" s="31" customFormat="1" x14ac:dyDescent="0.2">
      <c r="A97" s="6" t="s">
        <v>61</v>
      </c>
      <c r="B97" s="9">
        <v>2056.5671040000002</v>
      </c>
      <c r="C97" s="9">
        <v>-3663.3785400000002</v>
      </c>
      <c r="D97" s="9">
        <v>-536.71535300000005</v>
      </c>
      <c r="E97" s="9">
        <v>-1547.8721029999999</v>
      </c>
      <c r="F97" s="9">
        <v>725.03911900000003</v>
      </c>
      <c r="G97" s="9">
        <v>-4625.1109999999999</v>
      </c>
      <c r="H97" s="9">
        <v>-176.846</v>
      </c>
    </row>
    <row r="98" spans="1:8" s="31" customFormat="1" x14ac:dyDescent="0.2">
      <c r="A98" s="6" t="s">
        <v>18</v>
      </c>
      <c r="B98" s="9">
        <v>0</v>
      </c>
      <c r="C98" s="9">
        <v>-37.478189</v>
      </c>
      <c r="D98" s="9">
        <v>6.0490539999999999</v>
      </c>
      <c r="E98" s="9">
        <v>-3.3886470000000002</v>
      </c>
      <c r="F98" s="9">
        <v>12.093909999999999</v>
      </c>
      <c r="G98" s="9">
        <v>-20.13</v>
      </c>
      <c r="H98" s="9">
        <v>9.4730000000000008</v>
      </c>
    </row>
    <row r="99" spans="1:8" s="31" customFormat="1" x14ac:dyDescent="0.2">
      <c r="A99" s="6" t="s">
        <v>19</v>
      </c>
      <c r="B99" s="9">
        <v>144.222116</v>
      </c>
      <c r="C99" s="9">
        <v>24.566061000000001</v>
      </c>
      <c r="D99" s="9">
        <v>1.07667</v>
      </c>
      <c r="E99" s="9">
        <v>-225.333538</v>
      </c>
      <c r="F99" s="9">
        <v>-32.640321</v>
      </c>
      <c r="G99" s="9">
        <v>-41.598999999999997</v>
      </c>
      <c r="H99" s="9">
        <v>-347.65</v>
      </c>
    </row>
    <row r="100" spans="1:8" s="31" customFormat="1" x14ac:dyDescent="0.2">
      <c r="A100" s="6" t="s">
        <v>25</v>
      </c>
      <c r="B100" s="9">
        <v>5.1764979999999996</v>
      </c>
      <c r="C100" s="9">
        <v>-78.780545000000004</v>
      </c>
      <c r="D100" s="9">
        <v>98.540099999999995</v>
      </c>
      <c r="E100" s="9">
        <v>-6.5932240000000002</v>
      </c>
      <c r="F100" s="9">
        <v>-2.490059</v>
      </c>
      <c r="G100" s="15">
        <f>-32.551</f>
        <v>-32.551000000000002</v>
      </c>
      <c r="H100" s="15">
        <f>2.684</f>
        <v>2.6840000000000002</v>
      </c>
    </row>
    <row r="101" spans="1:8" s="31" customFormat="1" x14ac:dyDescent="0.2">
      <c r="A101" s="31" t="s">
        <v>62</v>
      </c>
      <c r="B101" s="9"/>
      <c r="C101" s="9"/>
      <c r="D101" s="9"/>
      <c r="E101" s="9"/>
      <c r="F101" s="19"/>
      <c r="G101" s="9"/>
      <c r="H101" s="9"/>
    </row>
    <row r="102" spans="1:8" s="31" customFormat="1" x14ac:dyDescent="0.2">
      <c r="A102" s="6" t="s">
        <v>28</v>
      </c>
      <c r="B102" s="9">
        <v>-1135.882333</v>
      </c>
      <c r="C102" s="13">
        <v>4008.7378910000002</v>
      </c>
      <c r="D102" s="9">
        <v>-404.64224300000001</v>
      </c>
      <c r="E102" s="9">
        <v>807.94333300000005</v>
      </c>
      <c r="F102" s="9">
        <v>353.22655099999997</v>
      </c>
      <c r="G102" s="9">
        <f>1954.46</f>
        <v>1954.46</v>
      </c>
      <c r="H102" s="9">
        <f>-23.411</f>
        <v>-23.411000000000001</v>
      </c>
    </row>
    <row r="103" spans="1:8" s="31" customFormat="1" x14ac:dyDescent="0.2">
      <c r="A103" s="6" t="s">
        <v>30</v>
      </c>
      <c r="B103" s="9">
        <v>0</v>
      </c>
      <c r="C103" s="9">
        <v>500.52272399999998</v>
      </c>
      <c r="D103" s="9">
        <v>-1378.2954609999999</v>
      </c>
      <c r="E103" s="9">
        <v>-20.959271999999999</v>
      </c>
      <c r="F103" s="9">
        <v>-68.179742000000005</v>
      </c>
      <c r="G103" s="9">
        <v>-11.233000000000001</v>
      </c>
      <c r="H103" s="9">
        <v>9.125</v>
      </c>
    </row>
    <row r="104" spans="1:8" s="31" customFormat="1" x14ac:dyDescent="0.2">
      <c r="A104" s="6" t="s">
        <v>100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99.522000000000006</v>
      </c>
      <c r="H104" s="9">
        <v>0</v>
      </c>
    </row>
    <row r="105" spans="1:8" s="31" customFormat="1" x14ac:dyDescent="0.2">
      <c r="A105" s="6" t="s">
        <v>93</v>
      </c>
      <c r="B105" s="9">
        <v>-64.936440000000005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15"/>
    </row>
    <row r="106" spans="1:8" s="31" customFormat="1" x14ac:dyDescent="0.2">
      <c r="A106" s="31" t="s">
        <v>63</v>
      </c>
      <c r="B106" s="9">
        <v>7.0194299999999998</v>
      </c>
      <c r="C106" s="13">
        <v>1.5474650000000001</v>
      </c>
      <c r="D106" s="9">
        <v>-65.863032000000004</v>
      </c>
      <c r="E106" s="9">
        <v>0</v>
      </c>
      <c r="F106" s="9">
        <v>0</v>
      </c>
      <c r="G106" s="9">
        <v>20.504999999999999</v>
      </c>
      <c r="H106" s="9">
        <v>-17.073</v>
      </c>
    </row>
    <row r="107" spans="1:8" s="31" customFormat="1" x14ac:dyDescent="0.2">
      <c r="A107" s="33" t="s">
        <v>64</v>
      </c>
      <c r="B107" s="24">
        <f>SUM(B93:B106)</f>
        <v>1214.5842580000001</v>
      </c>
      <c r="C107" s="25">
        <f>SUM(C93:C106)</f>
        <v>827.37711199999956</v>
      </c>
      <c r="D107" s="24">
        <f>SUM(D93:D106)</f>
        <v>110.09021600000094</v>
      </c>
      <c r="E107" s="24">
        <f>SUM(E93:E106)</f>
        <v>2675.6928419999999</v>
      </c>
      <c r="F107" s="24">
        <f>SUM(F93:F106)</f>
        <v>3271.0044030000004</v>
      </c>
      <c r="G107" s="24">
        <f t="shared" ref="G107:H107" si="11">SUM(G93:G106)</f>
        <v>304.42400000000123</v>
      </c>
      <c r="H107" s="24">
        <f t="shared" si="11"/>
        <v>4695.8379999999988</v>
      </c>
    </row>
    <row r="108" spans="1:8" s="31" customFormat="1" x14ac:dyDescent="0.2">
      <c r="A108" s="31" t="s">
        <v>65</v>
      </c>
      <c r="B108" s="9">
        <v>-8.4271729999999998</v>
      </c>
      <c r="C108" s="13">
        <v>-30.554622999999999</v>
      </c>
      <c r="D108" s="9">
        <v>-30.621903</v>
      </c>
      <c r="E108" s="9">
        <v>-41.368896999999997</v>
      </c>
      <c r="F108" s="9">
        <v>-44.283861000000002</v>
      </c>
      <c r="G108" s="15">
        <v>-48.613</v>
      </c>
      <c r="H108" s="15">
        <v>-48.613</v>
      </c>
    </row>
    <row r="109" spans="1:8" s="31" customFormat="1" x14ac:dyDescent="0.2">
      <c r="A109" s="31" t="s">
        <v>66</v>
      </c>
      <c r="B109" s="9">
        <v>-221.08045899999999</v>
      </c>
      <c r="C109" s="13">
        <v>-534.69779300000005</v>
      </c>
      <c r="D109" s="9">
        <v>-783.03312800000003</v>
      </c>
      <c r="E109" s="9">
        <v>-924.30200500000001</v>
      </c>
      <c r="F109" s="9">
        <v>-1019.115869</v>
      </c>
      <c r="G109" s="9">
        <v>-681.33900000000006</v>
      </c>
      <c r="H109" s="9">
        <v>-974.19</v>
      </c>
    </row>
    <row r="110" spans="1:8" s="31" customFormat="1" x14ac:dyDescent="0.2">
      <c r="A110" s="31" t="s">
        <v>90</v>
      </c>
      <c r="B110" s="9">
        <v>0</v>
      </c>
      <c r="C110" s="9">
        <v>0</v>
      </c>
      <c r="D110" s="9">
        <v>6.0570199999999996</v>
      </c>
      <c r="E110" s="9">
        <v>5.2489049999999997</v>
      </c>
      <c r="F110" s="9">
        <v>4.3319999999999999</v>
      </c>
      <c r="G110" s="15">
        <f>7.095</f>
        <v>7.0949999999999998</v>
      </c>
      <c r="H110" s="15">
        <v>7.7320000000000002</v>
      </c>
    </row>
    <row r="111" spans="1:8" s="31" customFormat="1" x14ac:dyDescent="0.2">
      <c r="A111" s="34" t="s">
        <v>68</v>
      </c>
      <c r="B111" s="18">
        <f>SUM(B107:B110)</f>
        <v>985.07662600000003</v>
      </c>
      <c r="C111" s="26">
        <f t="shared" ref="C111:E111" si="12">SUM(C107:C110)</f>
        <v>262.12469599999952</v>
      </c>
      <c r="D111" s="18">
        <f t="shared" si="12"/>
        <v>-697.50779499999908</v>
      </c>
      <c r="E111" s="18">
        <f t="shared" si="12"/>
        <v>1715.270845</v>
      </c>
      <c r="F111" s="18">
        <f>SUM(F107:F110)</f>
        <v>2211.9366730000006</v>
      </c>
      <c r="G111" s="18">
        <f t="shared" ref="G111:H111" si="13">SUM(G107:G110)</f>
        <v>-418.4329999999988</v>
      </c>
      <c r="H111" s="18">
        <f t="shared" si="13"/>
        <v>3680.7669999999985</v>
      </c>
    </row>
    <row r="112" spans="1:8" s="31" customFormat="1" x14ac:dyDescent="0.2">
      <c r="B112" s="9"/>
      <c r="C112" s="27"/>
      <c r="D112" s="22"/>
      <c r="E112" s="22"/>
      <c r="F112" s="19"/>
      <c r="G112" s="19"/>
      <c r="H112" s="19"/>
    </row>
    <row r="113" spans="1:8" s="31" customFormat="1" x14ac:dyDescent="0.2">
      <c r="A113" s="34" t="s">
        <v>69</v>
      </c>
      <c r="B113" s="18"/>
      <c r="C113" s="18"/>
      <c r="D113" s="18"/>
      <c r="E113" s="18"/>
      <c r="F113" s="19"/>
      <c r="G113" s="19"/>
      <c r="H113" s="19"/>
    </row>
    <row r="114" spans="1:8" s="31" customFormat="1" x14ac:dyDescent="0.2">
      <c r="A114" s="31" t="s">
        <v>70</v>
      </c>
      <c r="B114" s="9">
        <v>-341.80909100000002</v>
      </c>
      <c r="C114" s="9">
        <v>-539.73645999999997</v>
      </c>
      <c r="D114" s="9">
        <v>-1067.965095</v>
      </c>
      <c r="E114" s="9">
        <v>-1558.923826</v>
      </c>
      <c r="F114" s="9">
        <v>-1531.804883</v>
      </c>
      <c r="G114" s="9">
        <v>-1307.7080000000001</v>
      </c>
      <c r="H114" s="9">
        <v>-1774</v>
      </c>
    </row>
    <row r="115" spans="1:8" s="31" customFormat="1" x14ac:dyDescent="0.2">
      <c r="A115" s="31" t="s">
        <v>71</v>
      </c>
      <c r="B115" s="9">
        <v>79.701949999999997</v>
      </c>
      <c r="C115" s="9">
        <v>4.8868</v>
      </c>
      <c r="D115" s="9">
        <v>364.47812800000003</v>
      </c>
      <c r="E115" s="9">
        <v>357.93143400000002</v>
      </c>
      <c r="F115" s="9">
        <v>18.847518000000001</v>
      </c>
      <c r="G115" s="9">
        <v>77.959000000000003</v>
      </c>
      <c r="H115" s="9">
        <v>4.25</v>
      </c>
    </row>
    <row r="116" spans="1:8" s="31" customFormat="1" x14ac:dyDescent="0.2">
      <c r="A116" s="31" t="s">
        <v>72</v>
      </c>
      <c r="B116" s="9">
        <v>0</v>
      </c>
      <c r="C116" s="9">
        <v>-182.83182400000001</v>
      </c>
      <c r="D116" s="9">
        <v>151.41</v>
      </c>
      <c r="E116" s="9">
        <v>14.3</v>
      </c>
      <c r="F116" s="9">
        <v>12.79</v>
      </c>
      <c r="G116" s="9">
        <v>0</v>
      </c>
      <c r="H116" s="9">
        <v>0</v>
      </c>
    </row>
    <row r="117" spans="1:8" s="31" customFormat="1" x14ac:dyDescent="0.2">
      <c r="A117" s="31" t="s">
        <v>91</v>
      </c>
      <c r="B117" s="9">
        <v>0</v>
      </c>
      <c r="C117" s="9">
        <v>0</v>
      </c>
      <c r="D117" s="9">
        <v>0</v>
      </c>
      <c r="E117" s="9">
        <v>-61.474787999999997</v>
      </c>
      <c r="F117" s="9">
        <v>-537.89599999999996</v>
      </c>
      <c r="G117" s="9">
        <v>0</v>
      </c>
      <c r="H117" s="9">
        <v>0</v>
      </c>
    </row>
    <row r="118" spans="1:8" s="31" customFormat="1" x14ac:dyDescent="0.2">
      <c r="A118" s="31" t="s">
        <v>73</v>
      </c>
      <c r="B118" s="9">
        <v>0</v>
      </c>
      <c r="C118" s="9">
        <v>0</v>
      </c>
      <c r="D118" s="9">
        <v>-3371.395587</v>
      </c>
      <c r="E118" s="9">
        <f>-11.17677</f>
        <v>-11.176769999999999</v>
      </c>
      <c r="F118" s="35" t="s">
        <v>102</v>
      </c>
      <c r="G118" s="9">
        <v>0</v>
      </c>
      <c r="H118" s="9">
        <v>0</v>
      </c>
    </row>
    <row r="119" spans="1:8" s="31" customFormat="1" x14ac:dyDescent="0.2">
      <c r="A119" s="31" t="s">
        <v>67</v>
      </c>
      <c r="B119" s="9">
        <v>10.233586000000001</v>
      </c>
      <c r="C119" s="9">
        <v>11.330709000000001</v>
      </c>
      <c r="D119" s="9">
        <v>2.8257590000000001</v>
      </c>
      <c r="E119" s="9">
        <v>0.60519400000000001</v>
      </c>
      <c r="F119" s="32">
        <v>0.09</v>
      </c>
      <c r="G119" s="9">
        <v>0</v>
      </c>
      <c r="H119" s="9">
        <v>0</v>
      </c>
    </row>
    <row r="120" spans="1:8" s="31" customFormat="1" x14ac:dyDescent="0.2">
      <c r="A120" s="34" t="s">
        <v>74</v>
      </c>
      <c r="B120" s="18">
        <f>SUM(B114:B119)</f>
        <v>-251.87355500000001</v>
      </c>
      <c r="C120" s="18">
        <f t="shared" ref="C120:H120" si="14">SUM(C114:C119)</f>
        <v>-706.350775</v>
      </c>
      <c r="D120" s="18">
        <f t="shared" si="14"/>
        <v>-3920.6467950000001</v>
      </c>
      <c r="E120" s="18">
        <f t="shared" si="14"/>
        <v>-1258.738756</v>
      </c>
      <c r="F120" s="18">
        <f t="shared" si="14"/>
        <v>-2037.9733650000001</v>
      </c>
      <c r="G120" s="18">
        <f t="shared" si="14"/>
        <v>-1229.749</v>
      </c>
      <c r="H120" s="18">
        <f t="shared" si="14"/>
        <v>-1769.75</v>
      </c>
    </row>
    <row r="121" spans="1:8" s="31" customFormat="1" x14ac:dyDescent="0.2">
      <c r="B121" s="9"/>
      <c r="C121" s="9"/>
      <c r="D121" s="9"/>
      <c r="E121" s="9"/>
      <c r="F121" s="19"/>
      <c r="G121" s="19"/>
      <c r="H121" s="19"/>
    </row>
    <row r="122" spans="1:8" s="31" customFormat="1" x14ac:dyDescent="0.2">
      <c r="A122" s="34" t="s">
        <v>75</v>
      </c>
      <c r="B122" s="18"/>
      <c r="C122" s="18"/>
      <c r="D122" s="18"/>
      <c r="E122" s="18"/>
      <c r="F122" s="19"/>
      <c r="G122" s="19"/>
      <c r="H122" s="19"/>
    </row>
    <row r="123" spans="1:8" s="31" customFormat="1" x14ac:dyDescent="0.2">
      <c r="A123" s="31" t="s">
        <v>76</v>
      </c>
      <c r="B123" s="9">
        <v>0</v>
      </c>
      <c r="C123" s="9">
        <v>3500.3590140000001</v>
      </c>
      <c r="D123" s="9">
        <v>2272.3133579999999</v>
      </c>
      <c r="E123" s="9">
        <v>0</v>
      </c>
      <c r="F123" s="9">
        <v>17.33877</v>
      </c>
      <c r="G123" s="9">
        <v>0</v>
      </c>
      <c r="H123" s="9">
        <v>0</v>
      </c>
    </row>
    <row r="124" spans="1:8" s="31" customFormat="1" x14ac:dyDescent="0.2">
      <c r="A124" s="31" t="s">
        <v>77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s="31" customFormat="1" x14ac:dyDescent="0.2">
      <c r="A125" s="31" t="s">
        <v>78</v>
      </c>
      <c r="B125" s="9">
        <v>-555.84713899999997</v>
      </c>
      <c r="C125" s="9">
        <v>-2214.6000020000001</v>
      </c>
      <c r="D125" s="9">
        <v>2250</v>
      </c>
      <c r="E125" s="9">
        <f>1544-1490</f>
        <v>54</v>
      </c>
      <c r="F125" s="19">
        <f>2665-1261</f>
        <v>1404</v>
      </c>
      <c r="G125" s="9">
        <f>4050-1445.5</f>
        <v>2604.5</v>
      </c>
      <c r="H125" s="9">
        <f>4986-5778.491</f>
        <v>-792.49099999999999</v>
      </c>
    </row>
    <row r="126" spans="1:8" s="31" customFormat="1" x14ac:dyDescent="0.2">
      <c r="A126" s="31" t="s">
        <v>79</v>
      </c>
      <c r="B126" s="9">
        <v>-112.45020599999999</v>
      </c>
      <c r="C126" s="9">
        <v>-15.287944</v>
      </c>
      <c r="D126" s="9">
        <v>0</v>
      </c>
      <c r="E126" s="9">
        <v>-64.932232999999997</v>
      </c>
      <c r="F126" s="9">
        <v>-104.76811499999999</v>
      </c>
      <c r="G126" s="9">
        <v>-190.803</v>
      </c>
      <c r="H126" s="9">
        <f>-363.635</f>
        <v>-363.63499999999999</v>
      </c>
    </row>
    <row r="127" spans="1:8" s="31" customFormat="1" x14ac:dyDescent="0.2">
      <c r="A127" s="31" t="s">
        <v>80</v>
      </c>
      <c r="B127" s="9"/>
      <c r="C127" s="9">
        <v>0</v>
      </c>
      <c r="D127" s="9">
        <v>-446.20432099999999</v>
      </c>
      <c r="E127" s="9">
        <v>-472.13719300000002</v>
      </c>
      <c r="F127" s="9">
        <v>-637.60654699999998</v>
      </c>
      <c r="G127" s="9">
        <v>-637.60699999999997</v>
      </c>
      <c r="H127" s="9">
        <v>-637.60699999999997</v>
      </c>
    </row>
    <row r="128" spans="1:8" x14ac:dyDescent="0.2">
      <c r="A128" s="2" t="s">
        <v>101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-185.75399999999999</v>
      </c>
    </row>
    <row r="129" spans="1:8" x14ac:dyDescent="0.2">
      <c r="A129" s="1" t="s">
        <v>81</v>
      </c>
      <c r="B129" s="18">
        <f>SUM(B123:B128)</f>
        <v>-668.29734499999995</v>
      </c>
      <c r="C129" s="18">
        <f t="shared" ref="C129:H129" si="15">SUM(C123:C128)</f>
        <v>1270.4710680000001</v>
      </c>
      <c r="D129" s="18">
        <f t="shared" si="15"/>
        <v>4076.1090369999993</v>
      </c>
      <c r="E129" s="18">
        <f t="shared" si="15"/>
        <v>-483.06942600000002</v>
      </c>
      <c r="F129" s="18">
        <f t="shared" si="15"/>
        <v>678.96410800000001</v>
      </c>
      <c r="G129" s="18">
        <f t="shared" si="15"/>
        <v>1776.0900000000001</v>
      </c>
      <c r="H129" s="18">
        <f t="shared" si="15"/>
        <v>-1979.4869999999999</v>
      </c>
    </row>
    <row r="130" spans="1:8" x14ac:dyDescent="0.2">
      <c r="B130" s="9"/>
      <c r="C130" s="9"/>
      <c r="D130" s="9"/>
      <c r="E130" s="9"/>
      <c r="F130" s="10"/>
      <c r="G130" s="10"/>
      <c r="H130" s="10"/>
    </row>
    <row r="131" spans="1:8" x14ac:dyDescent="0.2">
      <c r="A131" s="1" t="s">
        <v>82</v>
      </c>
      <c r="B131" s="18">
        <f t="shared" ref="B131:H131" si="16">B111+B120+B129</f>
        <v>64.905726000000072</v>
      </c>
      <c r="C131" s="18">
        <f t="shared" si="16"/>
        <v>826.24498899999958</v>
      </c>
      <c r="D131" s="18">
        <f t="shared" si="16"/>
        <v>-542.04555299999993</v>
      </c>
      <c r="E131" s="18">
        <f t="shared" si="16"/>
        <v>-26.53733699999998</v>
      </c>
      <c r="F131" s="18">
        <f t="shared" si="16"/>
        <v>852.92741600000056</v>
      </c>
      <c r="G131" s="18">
        <f t="shared" si="16"/>
        <v>127.90800000000127</v>
      </c>
      <c r="H131" s="18">
        <f t="shared" si="16"/>
        <v>-68.470000000001392</v>
      </c>
    </row>
    <row r="132" spans="1:8" x14ac:dyDescent="0.2">
      <c r="A132" s="2" t="s">
        <v>83</v>
      </c>
      <c r="B132" s="9">
        <v>739.48900700000002</v>
      </c>
      <c r="C132" s="9">
        <v>437.96490699999998</v>
      </c>
      <c r="D132" s="9">
        <f>C133</f>
        <v>1264.2098959999996</v>
      </c>
      <c r="E132" s="9">
        <f t="shared" ref="E132" si="17">D133</f>
        <v>722.16434299999969</v>
      </c>
      <c r="F132" s="9">
        <f>E133</f>
        <v>695.62700599999971</v>
      </c>
      <c r="G132" s="9">
        <f>F133</f>
        <v>1548.5544220000002</v>
      </c>
      <c r="H132" s="9">
        <f>G133</f>
        <v>1676.4624220000014</v>
      </c>
    </row>
    <row r="133" spans="1:8" x14ac:dyDescent="0.2">
      <c r="A133" s="1" t="s">
        <v>84</v>
      </c>
      <c r="B133" s="18">
        <f>SUM(B131:B132)</f>
        <v>804.39473300000009</v>
      </c>
      <c r="C133" s="18">
        <f>SUM(C131:C132)</f>
        <v>1264.2098959999996</v>
      </c>
      <c r="D133" s="18">
        <f>SUM(D131:D132)</f>
        <v>722.16434299999969</v>
      </c>
      <c r="E133" s="18">
        <f>SUM(E131:E132)</f>
        <v>695.62700599999971</v>
      </c>
      <c r="F133" s="18">
        <f>SUM(F131:F132)</f>
        <v>1548.5544220000002</v>
      </c>
      <c r="G133" s="18">
        <f t="shared" ref="G133:H133" si="18">SUM(G131:G132)</f>
        <v>1676.4624220000014</v>
      </c>
      <c r="H133" s="18">
        <f t="shared" si="18"/>
        <v>1607.992422</v>
      </c>
    </row>
    <row r="134" spans="1:8" x14ac:dyDescent="0.2">
      <c r="B134" s="29"/>
      <c r="C134" s="29"/>
      <c r="D134" s="29"/>
      <c r="E134" s="29"/>
    </row>
    <row r="135" spans="1:8" x14ac:dyDescent="0.2">
      <c r="A135" s="2" t="s">
        <v>108</v>
      </c>
      <c r="B135" s="29">
        <f>SUM(B111,B114)</f>
        <v>643.26753499999995</v>
      </c>
      <c r="C135" s="29">
        <f>SUM(C111,C114)</f>
        <v>-277.61176400000045</v>
      </c>
      <c r="D135" s="29">
        <f>SUM(D111,D114)</f>
        <v>-1765.4728899999991</v>
      </c>
      <c r="E135" s="29">
        <f>SUM(E111,E114)</f>
        <v>156.34701900000005</v>
      </c>
      <c r="F135" s="29">
        <f>SUM(F111,F114)</f>
        <v>680.13179000000059</v>
      </c>
      <c r="G135" s="29">
        <f>SUM(G111,G114)</f>
        <v>-1726.1409999999989</v>
      </c>
      <c r="H135" s="29">
        <f>SUM(H111,H114)</f>
        <v>1906.7669999999985</v>
      </c>
    </row>
    <row r="136" spans="1:8" x14ac:dyDescent="0.2">
      <c r="B136" s="29"/>
      <c r="C136" s="29"/>
      <c r="D136" s="29"/>
      <c r="E136" s="29"/>
      <c r="F136" s="29"/>
      <c r="G136" s="29"/>
      <c r="H136" s="29"/>
    </row>
    <row r="137" spans="1:8" x14ac:dyDescent="0.2">
      <c r="A137" s="5" t="s">
        <v>107</v>
      </c>
      <c r="G137" s="30"/>
    </row>
    <row r="138" spans="1:8" x14ac:dyDescent="0.2">
      <c r="A138" s="5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Jimenez</dc:creator>
  <cp:lastModifiedBy>Microsoft Office User</cp:lastModifiedBy>
  <dcterms:created xsi:type="dcterms:W3CDTF">2017-07-10T01:44:22Z</dcterms:created>
  <dcterms:modified xsi:type="dcterms:W3CDTF">2020-06-07T03:27:02Z</dcterms:modified>
</cp:coreProperties>
</file>